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 Lusby III\Documents\AFE\A A Online Repository AFE Tools\"/>
    </mc:Choice>
  </mc:AlternateContent>
  <bookViews>
    <workbookView xWindow="0" yWindow="0" windowWidth="19200" windowHeight="6732"/>
  </bookViews>
  <sheets>
    <sheet name="Detailed budget" sheetId="3" r:id="rId1"/>
    <sheet name="Summary" sheetId="4" r:id="rId2"/>
  </sheets>
  <calcPr calcId="152511"/>
</workbook>
</file>

<file path=xl/calcChain.xml><?xml version="1.0" encoding="utf-8"?>
<calcChain xmlns="http://schemas.openxmlformats.org/spreadsheetml/2006/main">
  <c r="K52" i="3" l="1"/>
  <c r="I52" i="3"/>
  <c r="G52" i="3"/>
  <c r="K46" i="3"/>
  <c r="I46" i="3"/>
  <c r="G46" i="3"/>
  <c r="G70" i="3"/>
  <c r="G65" i="3"/>
  <c r="G66" i="3"/>
  <c r="J43" i="3" l="1"/>
  <c r="H43" i="3" l="1"/>
  <c r="L20" i="3"/>
  <c r="H66" i="3"/>
  <c r="H67" i="3"/>
  <c r="H68" i="3"/>
  <c r="H69" i="3"/>
  <c r="H70" i="3"/>
  <c r="H71" i="3"/>
  <c r="H72" i="3"/>
  <c r="H73" i="3"/>
  <c r="H65" i="3"/>
  <c r="G20" i="4" l="1"/>
  <c r="E20" i="4"/>
  <c r="C20" i="4"/>
  <c r="G19" i="4"/>
  <c r="E19" i="4"/>
  <c r="C19" i="4"/>
  <c r="N105" i="3"/>
  <c r="E11" i="4"/>
  <c r="C11" i="4"/>
  <c r="J46" i="3"/>
  <c r="H46" i="3"/>
  <c r="L19" i="3"/>
  <c r="J52" i="3"/>
  <c r="H52" i="3"/>
  <c r="N65" i="3"/>
  <c r="N72" i="3"/>
  <c r="H82" i="3"/>
  <c r="H83" i="3"/>
  <c r="H84" i="3"/>
  <c r="H85" i="3"/>
  <c r="H88" i="3"/>
  <c r="H89" i="3"/>
  <c r="H90" i="3"/>
  <c r="H91" i="3"/>
  <c r="H92" i="3"/>
  <c r="H93" i="3"/>
  <c r="H94" i="3"/>
  <c r="H95" i="3"/>
  <c r="H96" i="3"/>
  <c r="H97" i="3"/>
  <c r="H53" i="3"/>
  <c r="H54" i="3"/>
  <c r="H55" i="3"/>
  <c r="H56" i="3"/>
  <c r="G47" i="3"/>
  <c r="H47" i="3" s="1"/>
  <c r="H18" i="3"/>
  <c r="G30" i="3" s="1"/>
  <c r="H30" i="3" s="1"/>
  <c r="H19" i="3"/>
  <c r="G20" i="3"/>
  <c r="H20" i="3" s="1"/>
  <c r="H24" i="3"/>
  <c r="H25" i="3" s="1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53" i="3"/>
  <c r="J54" i="3"/>
  <c r="J55" i="3"/>
  <c r="J56" i="3"/>
  <c r="I47" i="3"/>
  <c r="J47" i="3" s="1"/>
  <c r="J18" i="3"/>
  <c r="I30" i="3" s="1"/>
  <c r="J30" i="3" s="1"/>
  <c r="J19" i="3"/>
  <c r="I20" i="3"/>
  <c r="J20" i="3" s="1"/>
  <c r="J24" i="3"/>
  <c r="J25" i="3" s="1"/>
  <c r="I31" i="3" s="1"/>
  <c r="J31" i="3" s="1"/>
  <c r="K11" i="3"/>
  <c r="L92" i="3" s="1"/>
  <c r="K47" i="3"/>
  <c r="L18" i="3"/>
  <c r="K30" i="3" s="1"/>
  <c r="L30" i="3" s="1"/>
  <c r="L24" i="3"/>
  <c r="L25" i="3" s="1"/>
  <c r="N67" i="3"/>
  <c r="N68" i="3"/>
  <c r="N69" i="3"/>
  <c r="N70" i="3"/>
  <c r="N71" i="3"/>
  <c r="J73" i="3"/>
  <c r="N74" i="3"/>
  <c r="N75" i="3"/>
  <c r="N103" i="3"/>
  <c r="K25" i="3"/>
  <c r="I25" i="3"/>
  <c r="G25" i="3"/>
  <c r="P18" i="3"/>
  <c r="N66" i="3"/>
  <c r="L56" i="3" l="1"/>
  <c r="N56" i="3" s="1"/>
  <c r="L85" i="3"/>
  <c r="L93" i="3"/>
  <c r="N93" i="3" s="1"/>
  <c r="L97" i="3"/>
  <c r="N97" i="3" s="1"/>
  <c r="L54" i="3"/>
  <c r="N54" i="3" s="1"/>
  <c r="L55" i="3"/>
  <c r="N55" i="3" s="1"/>
  <c r="L46" i="3"/>
  <c r="N46" i="3" s="1"/>
  <c r="L94" i="3"/>
  <c r="N94" i="3" s="1"/>
  <c r="J58" i="3"/>
  <c r="E13" i="4" s="1"/>
  <c r="L73" i="3"/>
  <c r="L88" i="3"/>
  <c r="N88" i="3" s="1"/>
  <c r="L83" i="3"/>
  <c r="N83" i="3" s="1"/>
  <c r="N20" i="3"/>
  <c r="N42" i="3"/>
  <c r="H58" i="3"/>
  <c r="C13" i="4" s="1"/>
  <c r="L96" i="3"/>
  <c r="N96" i="3" s="1"/>
  <c r="L89" i="3"/>
  <c r="N89" i="3" s="1"/>
  <c r="L90" i="3"/>
  <c r="N90" i="3" s="1"/>
  <c r="I20" i="4"/>
  <c r="N85" i="3"/>
  <c r="L91" i="3"/>
  <c r="L82" i="3"/>
  <c r="N82" i="3" s="1"/>
  <c r="L95" i="3"/>
  <c r="N95" i="3" s="1"/>
  <c r="L52" i="3"/>
  <c r="N52" i="3" s="1"/>
  <c r="L53" i="3"/>
  <c r="N53" i="3" s="1"/>
  <c r="L47" i="3"/>
  <c r="N47" i="3" s="1"/>
  <c r="L84" i="3"/>
  <c r="N84" i="3" s="1"/>
  <c r="H49" i="3"/>
  <c r="C12" i="4" s="1"/>
  <c r="K31" i="3"/>
  <c r="L31" i="3" s="1"/>
  <c r="O25" i="3"/>
  <c r="G31" i="3"/>
  <c r="H31" i="3" s="1"/>
  <c r="N25" i="3"/>
  <c r="N24" i="3"/>
  <c r="N92" i="3"/>
  <c r="J49" i="3"/>
  <c r="J60" i="3" s="1"/>
  <c r="N91" i="3"/>
  <c r="N30" i="3"/>
  <c r="N18" i="3"/>
  <c r="N73" i="3"/>
  <c r="N77" i="3" s="1"/>
  <c r="H77" i="3"/>
  <c r="L21" i="3"/>
  <c r="L27" i="3" s="1"/>
  <c r="G6" i="4" s="1"/>
  <c r="I32" i="3"/>
  <c r="J32" i="3" s="1"/>
  <c r="J34" i="3" s="1"/>
  <c r="E7" i="4" s="1"/>
  <c r="N19" i="3"/>
  <c r="K32" i="3"/>
  <c r="L32" i="3" s="1"/>
  <c r="J21" i="3"/>
  <c r="J27" i="3" s="1"/>
  <c r="E6" i="4" s="1"/>
  <c r="I19" i="4"/>
  <c r="J99" i="3"/>
  <c r="J101" i="3" s="1"/>
  <c r="H99" i="3"/>
  <c r="C18" i="4" s="1"/>
  <c r="H21" i="3"/>
  <c r="H27" i="3" s="1"/>
  <c r="C6" i="4" s="1"/>
  <c r="G32" i="3"/>
  <c r="H32" i="3" s="1"/>
  <c r="C17" i="4" l="1"/>
  <c r="I17" i="4" s="1"/>
  <c r="H101" i="3"/>
  <c r="L49" i="3"/>
  <c r="G12" i="4" s="1"/>
  <c r="N49" i="3"/>
  <c r="E12" i="4"/>
  <c r="E14" i="4" s="1"/>
  <c r="N21" i="3"/>
  <c r="N27" i="3" s="1"/>
  <c r="I6" i="4" s="1"/>
  <c r="N58" i="3"/>
  <c r="H60" i="3"/>
  <c r="L58" i="3"/>
  <c r="N43" i="3"/>
  <c r="L43" i="3"/>
  <c r="L99" i="3"/>
  <c r="N31" i="3"/>
  <c r="L34" i="3"/>
  <c r="G7" i="4" s="1"/>
  <c r="G8" i="4" s="1"/>
  <c r="N99" i="3"/>
  <c r="N101" i="3" s="1"/>
  <c r="E8" i="4"/>
  <c r="J36" i="3"/>
  <c r="I107" i="3" s="1"/>
  <c r="J107" i="3" s="1"/>
  <c r="J110" i="3" s="1"/>
  <c r="O77" i="3"/>
  <c r="O27" i="3"/>
  <c r="O21" i="3"/>
  <c r="C21" i="4"/>
  <c r="E18" i="4"/>
  <c r="E21" i="4" s="1"/>
  <c r="C14" i="4"/>
  <c r="H34" i="3"/>
  <c r="N32" i="3"/>
  <c r="O49" i="3" l="1"/>
  <c r="G18" i="4"/>
  <c r="L101" i="3"/>
  <c r="N34" i="3"/>
  <c r="N36" i="3" s="1"/>
  <c r="L60" i="3"/>
  <c r="O60" i="3" s="1"/>
  <c r="L36" i="3"/>
  <c r="I7" i="4"/>
  <c r="N60" i="3"/>
  <c r="O99" i="3"/>
  <c r="O43" i="3"/>
  <c r="G11" i="4"/>
  <c r="I11" i="4" s="1"/>
  <c r="G13" i="4"/>
  <c r="I13" i="4" s="1"/>
  <c r="O58" i="3"/>
  <c r="E23" i="4"/>
  <c r="E25" i="4" s="1"/>
  <c r="I18" i="4"/>
  <c r="C7" i="4"/>
  <c r="C8" i="4" s="1"/>
  <c r="H36" i="3"/>
  <c r="O34" i="3"/>
  <c r="I12" i="4"/>
  <c r="M107" i="3" l="1"/>
  <c r="O107" i="3" s="1"/>
  <c r="I14" i="4"/>
  <c r="I21" i="4"/>
  <c r="K107" i="3"/>
  <c r="L107" i="3" s="1"/>
  <c r="L110" i="3" s="1"/>
  <c r="O101" i="3"/>
  <c r="G14" i="4"/>
  <c r="G21" i="4"/>
  <c r="G107" i="3"/>
  <c r="H107" i="3" s="1"/>
  <c r="O36" i="3"/>
  <c r="C23" i="4"/>
  <c r="I8" i="4"/>
  <c r="N107" i="3" l="1"/>
  <c r="O110" i="3" s="1"/>
  <c r="G23" i="4"/>
  <c r="G25" i="4" s="1"/>
  <c r="C25" i="4"/>
  <c r="H110" i="3"/>
  <c r="N110" i="3" s="1"/>
  <c r="P107" i="3" l="1"/>
  <c r="I23" i="4"/>
  <c r="I25" i="4" s="1"/>
  <c r="O111" i="3"/>
</calcChain>
</file>

<file path=xl/sharedStrings.xml><?xml version="1.0" encoding="utf-8"?>
<sst xmlns="http://schemas.openxmlformats.org/spreadsheetml/2006/main" count="174" uniqueCount="122">
  <si>
    <t>Project Title:</t>
  </si>
  <si>
    <t>Period of Performance:</t>
  </si>
  <si>
    <t>Client:</t>
  </si>
  <si>
    <t>Date of Submission:</t>
  </si>
  <si>
    <t>Year 1</t>
  </si>
  <si>
    <t>Year 2</t>
  </si>
  <si>
    <t>Year 3</t>
  </si>
  <si>
    <t>TOTAL</t>
  </si>
  <si>
    <t>DETAILED BUDGET SCHEDULE</t>
  </si>
  <si>
    <t>Grand Total</t>
  </si>
  <si>
    <t>Rate</t>
  </si>
  <si>
    <t>Unit</t>
  </si>
  <si>
    <t>Units</t>
  </si>
  <si>
    <t>Cost</t>
  </si>
  <si>
    <t>Cost (US$)</t>
  </si>
  <si>
    <t>Calculation Check</t>
  </si>
  <si>
    <t>Note:</t>
  </si>
  <si>
    <r>
      <t>Inflation</t>
    </r>
    <r>
      <rPr>
        <i/>
        <sz val="10"/>
        <rFont val="Arial"/>
        <family val="2"/>
      </rPr>
      <t xml:space="preserve"> adjustment</t>
    </r>
  </si>
  <si>
    <r>
      <t xml:space="preserve">Merit </t>
    </r>
    <r>
      <rPr>
        <i/>
        <sz val="10"/>
        <rFont val="Arial"/>
        <family val="2"/>
      </rPr>
      <t>increase</t>
    </r>
  </si>
  <si>
    <t>1.</t>
  </si>
  <si>
    <t>TOTAL DIRECT LABOR</t>
  </si>
  <si>
    <t>a.</t>
  </si>
  <si>
    <t>Salaries and Wages</t>
  </si>
  <si>
    <t>i.</t>
  </si>
  <si>
    <t>Field Office - Technical</t>
  </si>
  <si>
    <t>/day</t>
  </si>
  <si>
    <t>Local Technical Staff</t>
  </si>
  <si>
    <t>/month</t>
  </si>
  <si>
    <t>Finance and Admin Manager</t>
  </si>
  <si>
    <t>Subtotal (i.)</t>
  </si>
  <si>
    <t>iii.</t>
  </si>
  <si>
    <t>Home Office - Technical</t>
  </si>
  <si>
    <t>Subtotal (iii.)</t>
  </si>
  <si>
    <t>Sub-total Salaries and Wages (1a)</t>
  </si>
  <si>
    <t>b.</t>
  </si>
  <si>
    <t>Fringe Benefits</t>
  </si>
  <si>
    <t>Home Office Employee Labor (Field Office)</t>
  </si>
  <si>
    <t>Home Office Employee Labor (Head Office)</t>
  </si>
  <si>
    <t>Local Staff Employee Labor</t>
  </si>
  <si>
    <t>Sub-total Fringe Benefits (1b)</t>
  </si>
  <si>
    <t>TOTAL DIRECT LABOR (1a-1b)</t>
  </si>
  <si>
    <t>2.</t>
  </si>
  <si>
    <t>TRAVEL AND TRANSPORTATION</t>
  </si>
  <si>
    <t>International Airfare</t>
  </si>
  <si>
    <t>round trip</t>
  </si>
  <si>
    <t>/mo.</t>
  </si>
  <si>
    <t xml:space="preserve">STTA </t>
  </si>
  <si>
    <t>Sub-total International Airfare (2a)</t>
  </si>
  <si>
    <t>Per diem</t>
  </si>
  <si>
    <t>Sub-total Per diem (2b)</t>
  </si>
  <si>
    <t>c.</t>
  </si>
  <si>
    <t>Transportation and Local Travel</t>
  </si>
  <si>
    <t>/rt</t>
  </si>
  <si>
    <t xml:space="preserve">Airport transfers </t>
  </si>
  <si>
    <t>STTA</t>
  </si>
  <si>
    <t>Vehilcle fuel</t>
  </si>
  <si>
    <t>mo</t>
  </si>
  <si>
    <t>Vehicle Maintenance</t>
  </si>
  <si>
    <t>Vehicle Insurance</t>
  </si>
  <si>
    <t>Local taxi and car rental</t>
  </si>
  <si>
    <t>Sub-total Transportation and Local Travel (2c)</t>
  </si>
  <si>
    <t>TOTAL TRAVEL AND TRANSPORTATION (2a-2c)</t>
  </si>
  <si>
    <t>3.</t>
  </si>
  <si>
    <t>OTHER DIRECT COSTS</t>
  </si>
  <si>
    <t>Equipment</t>
  </si>
  <si>
    <t xml:space="preserve">Desktop computer(s) </t>
  </si>
  <si>
    <t>/ea.</t>
  </si>
  <si>
    <t xml:space="preserve">Laptop computer(s) </t>
  </si>
  <si>
    <t>Computer software (office packages)</t>
  </si>
  <si>
    <t xml:space="preserve">Office Printer(s) </t>
  </si>
  <si>
    <t>Land Phones Set-up (3 lines, handsets, etc)</t>
  </si>
  <si>
    <t>Mobile Phone(s)</t>
  </si>
  <si>
    <t xml:space="preserve">Photocopier(s) </t>
  </si>
  <si>
    <t xml:space="preserve">LCD Projector </t>
  </si>
  <si>
    <t>Office Set-up, furniture, appliances</t>
  </si>
  <si>
    <t>Sub-total Equipment (3a)</t>
  </si>
  <si>
    <t>Office Expenses</t>
  </si>
  <si>
    <t>Home Office</t>
  </si>
  <si>
    <t>Communications</t>
  </si>
  <si>
    <t>Postage and express delivery</t>
  </si>
  <si>
    <t>Printing and photocopying</t>
  </si>
  <si>
    <t>Bank Charges (home office)</t>
  </si>
  <si>
    <t>ii.</t>
  </si>
  <si>
    <t>Professional fees</t>
  </si>
  <si>
    <t>Bank charges</t>
  </si>
  <si>
    <t>Office utilities (electricity, water, building fees)</t>
  </si>
  <si>
    <t>Office maintenance</t>
  </si>
  <si>
    <t>Communications (incl. internet, phone, etc.)</t>
  </si>
  <si>
    <t>Postage and express delivery (intl. courier)</t>
  </si>
  <si>
    <t>Expendable (office) supplies</t>
  </si>
  <si>
    <t>Office Security/Guard Services</t>
  </si>
  <si>
    <t>Sub-total Office Expenses (3c)</t>
  </si>
  <si>
    <t>TOTAL OTHER DIRECT COSTS (3a-3c)</t>
  </si>
  <si>
    <t>4.</t>
  </si>
  <si>
    <t>TOTAL COST</t>
  </si>
  <si>
    <t>difference</t>
  </si>
  <si>
    <t>YEAR 1</t>
  </si>
  <si>
    <t>YEAR 2</t>
  </si>
  <si>
    <t>YEAR 3</t>
  </si>
  <si>
    <t>INDIRECT COSTS</t>
  </si>
  <si>
    <t>Senior Technical Advisor/Specialists</t>
  </si>
  <si>
    <r>
      <t xml:space="preserve">All costs in </t>
    </r>
    <r>
      <rPr>
        <b/>
        <sz val="10"/>
        <rFont val="Arial"/>
        <family val="2"/>
      </rPr>
      <t>U.S. dollars</t>
    </r>
    <r>
      <rPr>
        <sz val="10"/>
        <color indexed="8"/>
        <rFont val="Calibri"/>
        <family val="2"/>
      </rPr>
      <t xml:space="preserve"> unless otherwise specified.</t>
    </r>
  </si>
  <si>
    <t>Office Network/Communicaton Set-up</t>
  </si>
  <si>
    <t>DIRECT LABOR</t>
  </si>
  <si>
    <t>TRAVEL, TRANSP, PERDIEM</t>
  </si>
  <si>
    <t>TOTAL TRAVEL, TRANSP, PERDIEM</t>
  </si>
  <si>
    <t>Innovation and Intervention</t>
  </si>
  <si>
    <t xml:space="preserve">Office Expenses </t>
  </si>
  <si>
    <t>TOTAL OTHER DIRECT COSTS</t>
  </si>
  <si>
    <t>OVERHEAD (per NICRA)</t>
  </si>
  <si>
    <t>AFE PACKAGE OF TECHNICAL SUPPORT (OPTIONAL)</t>
  </si>
  <si>
    <t>AFE Technical Support</t>
  </si>
  <si>
    <t>INNOVATION AND INTERVENTION FUND</t>
  </si>
  <si>
    <t>Three-year Projected Budget</t>
  </si>
  <si>
    <t xml:space="preserve">Office rent </t>
  </si>
  <si>
    <t xml:space="preserve">* The Lead Firms (LFs) that will be collaborating with the project will make significant investments (at least 20% of total project costs) in developing their capacity to provide (and providing) improved/expanded support to the MSMEs they transact with. </t>
  </si>
  <si>
    <r>
      <t xml:space="preserve">Travel to/from </t>
    </r>
    <r>
      <rPr>
        <i/>
        <sz val="10"/>
        <rFont val="Arial"/>
        <family val="2"/>
      </rPr>
      <t>[name of country]</t>
    </r>
    <r>
      <rPr>
        <sz val="10"/>
        <rFont val="Arial"/>
        <family val="2"/>
      </rPr>
      <t xml:space="preserve"> (HQ TA)</t>
    </r>
  </si>
  <si>
    <t>[name of country] (HQ TA)</t>
  </si>
  <si>
    <t>Local Field Travel</t>
  </si>
  <si>
    <t>Local vehicle (rental or purchase)</t>
  </si>
  <si>
    <t xml:space="preserve">Local Office </t>
  </si>
  <si>
    <t xml:space="preserve">Project 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</si>
</sst>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#,##0.0_);[Red]\(#,##0.0\)"/>
    <numFmt numFmtId="170" formatCode="&quot;$&quot;#,##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u val="double"/>
      <sz val="10"/>
      <name val="Arial"/>
      <family val="2"/>
    </font>
    <font>
      <i/>
      <sz val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9" fontId="3" fillId="0" borderId="0" xfId="3" applyFont="1" applyFill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6" fontId="1" fillId="0" borderId="6" xfId="2" applyNumberFormat="1" applyFont="1" applyFill="1" applyBorder="1" applyAlignment="1">
      <alignment horizontal="center"/>
    </xf>
    <xf numFmtId="0" fontId="1" fillId="2" borderId="7" xfId="0" quotePrefix="1" applyFont="1" applyFill="1" applyBorder="1"/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3" fillId="2" borderId="0" xfId="2" applyNumberFormat="1" applyFont="1" applyFill="1" applyBorder="1"/>
    <xf numFmtId="0" fontId="1" fillId="0" borderId="7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38" fontId="8" fillId="0" borderId="0" xfId="1" applyNumberFormat="1" applyFont="1" applyFill="1" applyBorder="1"/>
    <xf numFmtId="38" fontId="8" fillId="0" borderId="1" xfId="1" applyNumberFormat="1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indent="4"/>
    </xf>
    <xf numFmtId="6" fontId="3" fillId="0" borderId="0" xfId="0" applyNumberFormat="1" applyFont="1" applyFill="1" applyBorder="1"/>
    <xf numFmtId="38" fontId="3" fillId="0" borderId="7" xfId="1" applyNumberFormat="1" applyFont="1" applyFill="1" applyBorder="1"/>
    <xf numFmtId="38" fontId="1" fillId="0" borderId="0" xfId="1" applyNumberFormat="1" applyFont="1" applyFill="1" applyBorder="1"/>
    <xf numFmtId="38" fontId="1" fillId="0" borderId="1" xfId="1" applyNumberFormat="1" applyFont="1" applyFill="1" applyBorder="1"/>
    <xf numFmtId="38" fontId="3" fillId="0" borderId="0" xfId="1" applyNumberFormat="1" applyFont="1" applyFill="1" applyBorder="1"/>
    <xf numFmtId="40" fontId="3" fillId="0" borderId="7" xfId="1" applyNumberFormat="1" applyFont="1" applyFill="1" applyBorder="1"/>
    <xf numFmtId="38" fontId="9" fillId="0" borderId="0" xfId="0" applyNumberFormat="1" applyFont="1" applyFill="1"/>
    <xf numFmtId="38" fontId="10" fillId="0" borderId="7" xfId="1" applyNumberFormat="1" applyFont="1" applyFill="1" applyBorder="1"/>
    <xf numFmtId="38" fontId="10" fillId="0" borderId="0" xfId="1" applyNumberFormat="1" applyFont="1" applyFill="1" applyBorder="1"/>
    <xf numFmtId="38" fontId="10" fillId="0" borderId="1" xfId="1" applyNumberFormat="1" applyFont="1" applyFill="1" applyBorder="1"/>
    <xf numFmtId="1" fontId="2" fillId="0" borderId="0" xfId="0" applyNumberFormat="1" applyFont="1" applyFill="1"/>
    <xf numFmtId="38" fontId="8" fillId="0" borderId="7" xfId="1" applyNumberFormat="1" applyFont="1" applyFill="1" applyBorder="1"/>
    <xf numFmtId="38" fontId="2" fillId="0" borderId="0" xfId="0" applyNumberFormat="1" applyFont="1" applyFill="1"/>
    <xf numFmtId="0" fontId="1" fillId="0" borderId="0" xfId="0" applyFont="1" applyFill="1" applyBorder="1" applyAlignment="1">
      <alignment horizontal="left" indent="4"/>
    </xf>
    <xf numFmtId="38" fontId="1" fillId="0" borderId="7" xfId="1" applyNumberFormat="1" applyFont="1" applyFill="1" applyBorder="1"/>
    <xf numFmtId="167" fontId="11" fillId="0" borderId="0" xfId="0" applyNumberFormat="1" applyFont="1" applyFill="1"/>
    <xf numFmtId="0" fontId="1" fillId="0" borderId="7" xfId="0" quotePrefix="1" applyFont="1" applyFill="1" applyBorder="1"/>
    <xf numFmtId="0" fontId="1" fillId="0" borderId="0" xfId="0" quotePrefix="1" applyFont="1" applyFill="1" applyBorder="1"/>
    <xf numFmtId="167" fontId="1" fillId="0" borderId="7" xfId="1" applyNumberFormat="1" applyFont="1" applyFill="1" applyBorder="1"/>
    <xf numFmtId="167" fontId="1" fillId="0" borderId="0" xfId="1" applyNumberFormat="1" applyFont="1" applyFill="1" applyBorder="1"/>
    <xf numFmtId="167" fontId="1" fillId="0" borderId="1" xfId="1" applyNumberFormat="1" applyFont="1" applyFill="1" applyBorder="1"/>
    <xf numFmtId="10" fontId="1" fillId="0" borderId="0" xfId="3" applyNumberFormat="1" applyFont="1" applyFill="1" applyBorder="1"/>
    <xf numFmtId="168" fontId="1" fillId="0" borderId="7" xfId="1" applyNumberFormat="1" applyFont="1" applyFill="1" applyBorder="1"/>
    <xf numFmtId="167" fontId="2" fillId="0" borderId="0" xfId="0" applyNumberFormat="1" applyFont="1" applyFill="1"/>
    <xf numFmtId="167" fontId="3" fillId="0" borderId="7" xfId="1" applyNumberFormat="1" applyFont="1" applyFill="1" applyBorder="1"/>
    <xf numFmtId="167" fontId="3" fillId="0" borderId="0" xfId="1" applyNumberFormat="1" applyFont="1" applyFill="1" applyBorder="1"/>
    <xf numFmtId="167" fontId="3" fillId="0" borderId="1" xfId="1" applyNumberFormat="1" applyFont="1" applyFill="1" applyBorder="1"/>
    <xf numFmtId="38" fontId="0" fillId="0" borderId="0" xfId="0" applyNumberFormat="1" applyFill="1"/>
    <xf numFmtId="166" fontId="3" fillId="0" borderId="0" xfId="2" applyNumberFormat="1" applyFont="1" applyFill="1" applyBorder="1"/>
    <xf numFmtId="38" fontId="3" fillId="0" borderId="1" xfId="1" applyNumberFormat="1" applyFont="1" applyFill="1" applyBorder="1"/>
    <xf numFmtId="166" fontId="3" fillId="0" borderId="0" xfId="2" quotePrefix="1" applyNumberFormat="1" applyFont="1" applyFill="1" applyBorder="1"/>
    <xf numFmtId="0" fontId="0" fillId="0" borderId="0" xfId="0" applyBorder="1"/>
    <xf numFmtId="0" fontId="2" fillId="0" borderId="0" xfId="0" applyFont="1"/>
    <xf numFmtId="169" fontId="3" fillId="0" borderId="7" xfId="1" applyNumberFormat="1" applyFont="1" applyFill="1" applyBorder="1"/>
    <xf numFmtId="38" fontId="1" fillId="0" borderId="0" xfId="0" applyNumberFormat="1" applyFont="1" applyFill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166" fontId="3" fillId="0" borderId="0" xfId="2" applyNumberFormat="1" applyFont="1" applyBorder="1"/>
    <xf numFmtId="38" fontId="6" fillId="0" borderId="0" xfId="1" applyNumberFormat="1" applyFont="1" applyFill="1" applyBorder="1"/>
    <xf numFmtId="38" fontId="6" fillId="0" borderId="1" xfId="1" applyNumberFormat="1" applyFont="1" applyFill="1" applyBorder="1"/>
    <xf numFmtId="0" fontId="1" fillId="2" borderId="7" xfId="0" quotePrefix="1" applyFont="1" applyFill="1" applyBorder="1" applyAlignment="1">
      <alignment horizontal="left"/>
    </xf>
    <xf numFmtId="9" fontId="3" fillId="2" borderId="0" xfId="3" applyFont="1" applyFill="1" applyBorder="1"/>
    <xf numFmtId="38" fontId="3" fillId="2" borderId="0" xfId="1" applyNumberFormat="1" applyFont="1" applyFill="1" applyBorder="1"/>
    <xf numFmtId="38" fontId="3" fillId="2" borderId="1" xfId="1" applyNumberFormat="1" applyFont="1" applyFill="1" applyBorder="1"/>
    <xf numFmtId="38" fontId="12" fillId="0" borderId="0" xfId="1" applyNumberFormat="1" applyFont="1" applyFill="1" applyBorder="1"/>
    <xf numFmtId="167" fontId="2" fillId="0" borderId="0" xfId="0" applyNumberFormat="1" applyFont="1"/>
    <xf numFmtId="0" fontId="1" fillId="2" borderId="7" xfId="0" applyFont="1" applyFill="1" applyBorder="1"/>
    <xf numFmtId="0" fontId="0" fillId="0" borderId="7" xfId="0" quotePrefix="1" applyBorder="1"/>
    <xf numFmtId="10" fontId="3" fillId="0" borderId="0" xfId="3" applyNumberFormat="1" applyFont="1" applyFill="1" applyBorder="1"/>
    <xf numFmtId="38" fontId="1" fillId="2" borderId="7" xfId="1" applyNumberFormat="1" applyFont="1" applyFill="1" applyBorder="1"/>
    <xf numFmtId="38" fontId="13" fillId="2" borderId="0" xfId="1" applyNumberFormat="1" applyFont="1" applyFill="1" applyBorder="1"/>
    <xf numFmtId="38" fontId="13" fillId="2" borderId="1" xfId="1" applyNumberFormat="1" applyFont="1" applyFill="1" applyBorder="1"/>
    <xf numFmtId="170" fontId="13" fillId="2" borderId="1" xfId="0" applyNumberFormat="1" applyFont="1" applyFill="1" applyBorder="1"/>
    <xf numFmtId="9" fontId="14" fillId="0" borderId="0" xfId="3" applyFont="1" applyFill="1"/>
    <xf numFmtId="9" fontId="2" fillId="0" borderId="0" xfId="3" applyFont="1" applyFill="1"/>
    <xf numFmtId="0" fontId="1" fillId="0" borderId="4" xfId="0" quotePrefix="1" applyFont="1" applyFill="1" applyBorder="1"/>
    <xf numFmtId="0" fontId="1" fillId="0" borderId="2" xfId="0" applyFont="1" applyFill="1" applyBorder="1"/>
    <xf numFmtId="9" fontId="3" fillId="0" borderId="2" xfId="3" applyFont="1" applyFill="1" applyBorder="1"/>
    <xf numFmtId="38" fontId="1" fillId="0" borderId="4" xfId="1" applyNumberFormat="1" applyFont="1" applyFill="1" applyBorder="1"/>
    <xf numFmtId="38" fontId="1" fillId="0" borderId="2" xfId="1" applyNumberFormat="1" applyFont="1" applyFill="1" applyBorder="1"/>
    <xf numFmtId="38" fontId="1" fillId="0" borderId="5" xfId="1" applyNumberFormat="1" applyFont="1" applyFill="1" applyBorder="1"/>
    <xf numFmtId="38" fontId="9" fillId="0" borderId="0" xfId="0" applyNumberFormat="1" applyFont="1"/>
    <xf numFmtId="38" fontId="0" fillId="0" borderId="0" xfId="0" applyNumberFormat="1"/>
    <xf numFmtId="0" fontId="3" fillId="0" borderId="0" xfId="0" applyFont="1" applyAlignment="1">
      <alignment horizontal="left"/>
    </xf>
    <xf numFmtId="38" fontId="3" fillId="2" borderId="7" xfId="1" applyNumberFormat="1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7" xfId="0" applyFont="1" applyFill="1" applyBorder="1"/>
    <xf numFmtId="0" fontId="17" fillId="0" borderId="4" xfId="0" applyFont="1" applyFill="1" applyBorder="1"/>
    <xf numFmtId="0" fontId="17" fillId="0" borderId="2" xfId="0" applyFont="1" applyFill="1" applyBorder="1"/>
    <xf numFmtId="165" fontId="17" fillId="0" borderId="0" xfId="3" applyNumberFormat="1" applyFont="1" applyFill="1" applyBorder="1"/>
    <xf numFmtId="10" fontId="17" fillId="0" borderId="0" xfId="0" applyNumberFormat="1" applyFont="1" applyFill="1" applyBorder="1"/>
    <xf numFmtId="43" fontId="17" fillId="0" borderId="8" xfId="1" applyNumberFormat="1" applyFont="1" applyFill="1" applyBorder="1"/>
    <xf numFmtId="43" fontId="17" fillId="0" borderId="0" xfId="0" applyNumberFormat="1" applyFont="1" applyFill="1" applyBorder="1"/>
    <xf numFmtId="43" fontId="17" fillId="0" borderId="7" xfId="1" applyNumberFormat="1" applyFont="1" applyFill="1" applyBorder="1"/>
    <xf numFmtId="43" fontId="17" fillId="0" borderId="1" xfId="0" applyNumberFormat="1" applyFont="1" applyFill="1" applyBorder="1"/>
    <xf numFmtId="0" fontId="17" fillId="0" borderId="1" xfId="0" applyFont="1" applyFill="1" applyBorder="1"/>
    <xf numFmtId="0" fontId="17" fillId="0" borderId="10" xfId="0" applyFont="1" applyFill="1" applyBorder="1"/>
    <xf numFmtId="0" fontId="17" fillId="0" borderId="6" xfId="0" applyFont="1" applyFill="1" applyBorder="1"/>
    <xf numFmtId="0" fontId="17" fillId="0" borderId="11" xfId="0" applyFont="1" applyFill="1" applyBorder="1"/>
    <xf numFmtId="0" fontId="17" fillId="2" borderId="0" xfId="0" applyFont="1" applyFill="1" applyBorder="1"/>
    <xf numFmtId="0" fontId="17" fillId="2" borderId="7" xfId="0" applyFont="1" applyFill="1" applyBorder="1"/>
    <xf numFmtId="0" fontId="17" fillId="2" borderId="1" xfId="0" applyFont="1" applyFill="1" applyBorder="1"/>
    <xf numFmtId="166" fontId="17" fillId="0" borderId="0" xfId="2" applyNumberFormat="1" applyFont="1" applyFill="1" applyBorder="1"/>
    <xf numFmtId="6" fontId="3" fillId="0" borderId="0" xfId="2" applyNumberFormat="1" applyFont="1" applyFill="1" applyBorder="1"/>
    <xf numFmtId="0" fontId="3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7" xfId="0" applyFont="1" applyFill="1" applyBorder="1"/>
    <xf numFmtId="167" fontId="18" fillId="0" borderId="7" xfId="1" applyNumberFormat="1" applyFont="1" applyFill="1" applyBorder="1"/>
    <xf numFmtId="167" fontId="18" fillId="0" borderId="0" xfId="1" applyNumberFormat="1" applyFont="1" applyFill="1" applyBorder="1"/>
    <xf numFmtId="167" fontId="18" fillId="0" borderId="1" xfId="1" applyNumberFormat="1" applyFont="1" applyFill="1" applyBorder="1"/>
    <xf numFmtId="6" fontId="18" fillId="0" borderId="0" xfId="2" applyNumberFormat="1" applyFont="1" applyFill="1" applyBorder="1"/>
    <xf numFmtId="44" fontId="18" fillId="0" borderId="0" xfId="2" quotePrefix="1" applyFont="1" applyFill="1" applyBorder="1"/>
    <xf numFmtId="38" fontId="18" fillId="0" borderId="0" xfId="1" applyNumberFormat="1" applyFont="1" applyFill="1" applyBorder="1"/>
    <xf numFmtId="40" fontId="18" fillId="0" borderId="7" xfId="1" applyNumberFormat="1" applyFont="1" applyFill="1" applyBorder="1"/>
    <xf numFmtId="38" fontId="18" fillId="0" borderId="1" xfId="1" applyNumberFormat="1" applyFont="1" applyFill="1" applyBorder="1"/>
    <xf numFmtId="6" fontId="18" fillId="0" borderId="0" xfId="0" applyNumberFormat="1" applyFont="1" applyFill="1" applyBorder="1"/>
    <xf numFmtId="38" fontId="18" fillId="0" borderId="7" xfId="1" applyNumberFormat="1" applyFont="1" applyFill="1" applyBorder="1"/>
    <xf numFmtId="0" fontId="18" fillId="0" borderId="0" xfId="0" quotePrefix="1" applyFont="1" applyFill="1" applyBorder="1"/>
    <xf numFmtId="0" fontId="18" fillId="0" borderId="7" xfId="0" quotePrefix="1" applyFont="1" applyFill="1" applyBorder="1"/>
    <xf numFmtId="10" fontId="18" fillId="0" borderId="0" xfId="3" applyNumberFormat="1" applyFont="1" applyFill="1" applyBorder="1"/>
    <xf numFmtId="167" fontId="18" fillId="0" borderId="7" xfId="1" quotePrefix="1" applyNumberFormat="1" applyFont="1" applyFill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167" fontId="18" fillId="0" borderId="1" xfId="1" applyNumberFormat="1" applyFont="1" applyFill="1" applyBorder="1" applyAlignment="1">
      <alignment horizontal="right"/>
    </xf>
    <xf numFmtId="167" fontId="18" fillId="0" borderId="7" xfId="1" applyNumberFormat="1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7" xfId="0" applyFont="1" applyFill="1" applyBorder="1"/>
    <xf numFmtId="0" fontId="18" fillId="2" borderId="1" xfId="0" applyFont="1" applyFill="1" applyBorder="1"/>
    <xf numFmtId="0" fontId="18" fillId="0" borderId="0" xfId="0" applyFont="1" applyFill="1"/>
    <xf numFmtId="166" fontId="18" fillId="0" borderId="0" xfId="2" applyNumberFormat="1" applyFont="1" applyFill="1" applyBorder="1"/>
    <xf numFmtId="38" fontId="18" fillId="0" borderId="0" xfId="1" applyNumberFormat="1" applyFont="1" applyBorder="1"/>
    <xf numFmtId="38" fontId="18" fillId="0" borderId="1" xfId="1" applyNumberFormat="1" applyFont="1" applyBorder="1"/>
    <xf numFmtId="166" fontId="18" fillId="0" borderId="0" xfId="2" quotePrefix="1" applyNumberFormat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quotePrefix="1" applyFont="1" applyFill="1" applyBorder="1" applyAlignment="1">
      <alignment horizontal="center"/>
    </xf>
    <xf numFmtId="38" fontId="18" fillId="0" borderId="7" xfId="1" quotePrefix="1" applyNumberFormat="1" applyFont="1" applyFill="1" applyBorder="1" applyAlignment="1">
      <alignment horizontal="right"/>
    </xf>
    <xf numFmtId="38" fontId="18" fillId="0" borderId="0" xfId="1" applyNumberFormat="1" applyFont="1" applyFill="1" applyBorder="1" applyAlignment="1">
      <alignment horizontal="right"/>
    </xf>
    <xf numFmtId="38" fontId="18" fillId="0" borderId="1" xfId="1" applyNumberFormat="1" applyFont="1" applyFill="1" applyBorder="1" applyAlignment="1">
      <alignment horizontal="right"/>
    </xf>
    <xf numFmtId="38" fontId="18" fillId="0" borderId="7" xfId="1" applyNumberFormat="1" applyFont="1" applyFill="1" applyBorder="1" applyAlignment="1">
      <alignment horizontal="right"/>
    </xf>
    <xf numFmtId="0" fontId="18" fillId="0" borderId="7" xfId="0" applyFont="1" applyBorder="1"/>
    <xf numFmtId="38" fontId="18" fillId="0" borderId="0" xfId="1" applyNumberFormat="1" applyFont="1" applyBorder="1" applyAlignment="1">
      <alignment horizontal="center"/>
    </xf>
    <xf numFmtId="0" fontId="18" fillId="0" borderId="0" xfId="0" applyFont="1" applyBorder="1"/>
    <xf numFmtId="166" fontId="18" fillId="0" borderId="0" xfId="2" quotePrefix="1" applyNumberFormat="1" applyFont="1" applyBorder="1"/>
    <xf numFmtId="38" fontId="18" fillId="0" borderId="7" xfId="1" applyNumberFormat="1" applyFont="1" applyBorder="1"/>
    <xf numFmtId="38" fontId="18" fillId="0" borderId="7" xfId="1" quotePrefix="1" applyNumberFormat="1" applyFont="1" applyBorder="1" applyAlignment="1">
      <alignment horizontal="right"/>
    </xf>
    <xf numFmtId="38" fontId="18" fillId="0" borderId="0" xfId="1" applyNumberFormat="1" applyFont="1" applyBorder="1" applyAlignment="1">
      <alignment horizontal="right"/>
    </xf>
    <xf numFmtId="38" fontId="18" fillId="0" borderId="1" xfId="1" applyNumberFormat="1" applyFont="1" applyBorder="1" applyAlignment="1">
      <alignment horizontal="right"/>
    </xf>
    <xf numFmtId="38" fontId="18" fillId="0" borderId="7" xfId="1" applyNumberFormat="1" applyFont="1" applyBorder="1" applyAlignment="1">
      <alignment horizontal="right"/>
    </xf>
    <xf numFmtId="0" fontId="18" fillId="0" borderId="0" xfId="0" quotePrefix="1" applyFont="1" applyBorder="1"/>
    <xf numFmtId="0" fontId="18" fillId="0" borderId="0" xfId="0" applyFont="1" applyBorder="1" applyAlignment="1">
      <alignment horizontal="center"/>
    </xf>
    <xf numFmtId="167" fontId="18" fillId="0" borderId="0" xfId="1" applyNumberFormat="1" applyFont="1" applyBorder="1"/>
    <xf numFmtId="3" fontId="18" fillId="2" borderId="1" xfId="0" applyNumberFormat="1" applyFont="1" applyFill="1" applyBorder="1"/>
    <xf numFmtId="0" fontId="18" fillId="0" borderId="7" xfId="0" quotePrefix="1" applyFont="1" applyBorder="1"/>
    <xf numFmtId="0" fontId="0" fillId="0" borderId="0" xfId="0" applyAlignment="1">
      <alignment wrapText="1"/>
    </xf>
    <xf numFmtId="169" fontId="13" fillId="2" borderId="1" xfId="1" applyNumberFormat="1" applyFont="1" applyFill="1" applyBorder="1"/>
    <xf numFmtId="0" fontId="0" fillId="0" borderId="17" xfId="0" applyBorder="1"/>
    <xf numFmtId="0" fontId="0" fillId="0" borderId="17" xfId="0" applyBorder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3" fontId="0" fillId="0" borderId="17" xfId="0" applyNumberFormat="1" applyBorder="1"/>
    <xf numFmtId="0" fontId="3" fillId="0" borderId="17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170" fontId="1" fillId="0" borderId="17" xfId="0" applyNumberFormat="1" applyFont="1" applyBorder="1"/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/>
    </xf>
    <xf numFmtId="164" fontId="1" fillId="0" borderId="2" xfId="0" applyNumberFormat="1" applyFont="1" applyFill="1" applyBorder="1" applyAlignment="1">
      <alignment horizontal="left"/>
    </xf>
    <xf numFmtId="0" fontId="17" fillId="0" borderId="2" xfId="0" applyFont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topLeftCell="A18" zoomScaleNormal="100" workbookViewId="0">
      <selection activeCell="F32" sqref="F32"/>
    </sheetView>
  </sheetViews>
  <sheetFormatPr defaultRowHeight="14.4" x14ac:dyDescent="0.3"/>
  <cols>
    <col min="1" max="1" width="3.5546875" customWidth="1"/>
    <col min="2" max="2" width="4.109375" customWidth="1"/>
    <col min="3" max="3" width="39.88671875" customWidth="1"/>
    <col min="4" max="4" width="13.44140625" customWidth="1"/>
    <col min="5" max="5" width="9.6640625" customWidth="1"/>
    <col min="6" max="6" width="10.88671875" bestFit="1" customWidth="1"/>
    <col min="7" max="7" width="8.88671875" bestFit="1" customWidth="1"/>
    <col min="8" max="8" width="10.6640625" customWidth="1"/>
    <col min="9" max="9" width="8.88671875" bestFit="1" customWidth="1"/>
    <col min="10" max="10" width="10.6640625" customWidth="1"/>
    <col min="11" max="11" width="9" bestFit="1" customWidth="1"/>
    <col min="12" max="12" width="12" customWidth="1"/>
    <col min="13" max="13" width="10.5546875" bestFit="1" customWidth="1"/>
    <col min="14" max="14" width="11.21875" customWidth="1"/>
    <col min="15" max="15" width="13.21875" hidden="1" customWidth="1"/>
    <col min="16" max="16" width="12.21875" hidden="1" customWidth="1"/>
    <col min="17" max="17" width="10" style="66" hidden="1" customWidth="1"/>
    <col min="18" max="18" width="12.88671875" style="66" customWidth="1"/>
    <col min="19" max="19" width="11.6640625" bestFit="1" customWidth="1"/>
  </cols>
  <sheetData>
    <row r="1" spans="1:18" s="2" customFormat="1" x14ac:dyDescent="0.3">
      <c r="A1" s="1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Q1" s="3"/>
      <c r="R1" s="3"/>
    </row>
    <row r="2" spans="1:18" s="2" customFormat="1" ht="17.399999999999999" customHeight="1" x14ac:dyDescent="0.3">
      <c r="A2" s="1" t="s">
        <v>0</v>
      </c>
      <c r="B2" s="100"/>
      <c r="C2" s="100"/>
      <c r="D2" s="195"/>
      <c r="E2" s="196"/>
      <c r="F2" s="196"/>
      <c r="G2" s="196"/>
      <c r="H2" s="196"/>
      <c r="I2" s="196"/>
      <c r="J2" s="196"/>
      <c r="K2" s="100"/>
      <c r="L2" s="100"/>
      <c r="M2" s="100"/>
      <c r="N2" s="100"/>
      <c r="Q2" s="3"/>
      <c r="R2" s="3"/>
    </row>
    <row r="3" spans="1:18" s="2" customFormat="1" x14ac:dyDescent="0.3">
      <c r="A3" s="1" t="s">
        <v>1</v>
      </c>
      <c r="B3" s="100"/>
      <c r="C3" s="100"/>
      <c r="D3" s="1" t="s">
        <v>113</v>
      </c>
      <c r="E3" s="100"/>
      <c r="F3" s="5"/>
      <c r="G3" s="4"/>
      <c r="H3" s="4"/>
      <c r="I3" s="100"/>
      <c r="J3" s="4"/>
      <c r="K3" s="100"/>
      <c r="L3" s="100"/>
      <c r="M3" s="100"/>
      <c r="N3" s="100"/>
      <c r="Q3" s="3"/>
      <c r="R3" s="3"/>
    </row>
    <row r="4" spans="1:18" s="2" customFormat="1" x14ac:dyDescent="0.3">
      <c r="A4" s="1" t="s">
        <v>2</v>
      </c>
      <c r="B4" s="100"/>
      <c r="C4" s="100"/>
      <c r="D4" s="1"/>
      <c r="E4" s="100"/>
      <c r="F4" s="100"/>
      <c r="G4" s="100"/>
      <c r="H4" s="100"/>
      <c r="I4" s="100"/>
      <c r="J4" s="100"/>
      <c r="K4" s="100"/>
      <c r="L4" s="6"/>
      <c r="M4" s="100"/>
      <c r="N4" s="100"/>
      <c r="Q4" s="3"/>
      <c r="R4" s="3"/>
    </row>
    <row r="5" spans="1:18" s="2" customFormat="1" x14ac:dyDescent="0.3">
      <c r="A5" s="1"/>
      <c r="B5" s="100"/>
      <c r="C5" s="100"/>
      <c r="D5" s="1"/>
      <c r="E5" s="100"/>
      <c r="F5" s="100"/>
      <c r="G5" s="100"/>
      <c r="H5" s="100"/>
      <c r="I5" s="100"/>
      <c r="J5" s="100"/>
      <c r="K5" s="100"/>
      <c r="L5" s="6"/>
      <c r="M5" s="100"/>
      <c r="N5" s="100"/>
      <c r="Q5" s="3"/>
      <c r="R5" s="3"/>
    </row>
    <row r="6" spans="1:18" s="2" customFormat="1" ht="15" thickBot="1" x14ac:dyDescent="0.35">
      <c r="A6" s="7" t="s">
        <v>3</v>
      </c>
      <c r="B6" s="101"/>
      <c r="C6" s="101"/>
      <c r="D6" s="197"/>
      <c r="E6" s="198"/>
      <c r="F6" s="101"/>
      <c r="G6" s="101"/>
      <c r="H6" s="101"/>
      <c r="I6" s="101"/>
      <c r="J6" s="101"/>
      <c r="K6" s="100"/>
      <c r="L6" s="6"/>
      <c r="M6" s="101"/>
      <c r="N6" s="101"/>
      <c r="O6" s="8"/>
      <c r="P6" s="8"/>
      <c r="Q6" s="3"/>
      <c r="R6" s="3"/>
    </row>
    <row r="7" spans="1:18" s="2" customFormat="1" ht="15" thickTop="1" x14ac:dyDescent="0.3">
      <c r="A7" s="102"/>
      <c r="B7" s="103"/>
      <c r="C7" s="103"/>
      <c r="D7" s="103"/>
      <c r="E7" s="103"/>
      <c r="F7" s="103"/>
      <c r="G7" s="199" t="s">
        <v>4</v>
      </c>
      <c r="H7" s="200"/>
      <c r="I7" s="184" t="s">
        <v>5</v>
      </c>
      <c r="J7" s="184"/>
      <c r="K7" s="199" t="s">
        <v>6</v>
      </c>
      <c r="L7" s="200"/>
      <c r="M7" s="184" t="s">
        <v>7</v>
      </c>
      <c r="N7" s="185"/>
      <c r="O7" s="3"/>
      <c r="P7" s="3"/>
    </row>
    <row r="8" spans="1:18" s="2" customFormat="1" x14ac:dyDescent="0.3">
      <c r="A8" s="104"/>
      <c r="B8" s="186" t="s">
        <v>8</v>
      </c>
      <c r="C8" s="186"/>
      <c r="D8" s="186"/>
      <c r="E8" s="186"/>
      <c r="F8" s="101"/>
      <c r="G8" s="190"/>
      <c r="H8" s="191"/>
      <c r="I8" s="190"/>
      <c r="J8" s="191"/>
      <c r="K8" s="190"/>
      <c r="L8" s="191"/>
      <c r="M8" s="9"/>
      <c r="N8" s="10"/>
      <c r="O8" s="3"/>
      <c r="P8" s="3"/>
    </row>
    <row r="9" spans="1:18" s="2" customFormat="1" x14ac:dyDescent="0.3">
      <c r="A9" s="104"/>
      <c r="B9" s="192" t="s">
        <v>101</v>
      </c>
      <c r="C9" s="192"/>
      <c r="D9" s="192"/>
      <c r="E9" s="192"/>
      <c r="F9" s="101"/>
      <c r="G9" s="190"/>
      <c r="H9" s="191"/>
      <c r="I9" s="193"/>
      <c r="J9" s="194"/>
      <c r="K9" s="193"/>
      <c r="L9" s="194"/>
      <c r="M9" s="186" t="s">
        <v>9</v>
      </c>
      <c r="N9" s="187"/>
      <c r="O9" s="3"/>
      <c r="P9" s="3"/>
    </row>
    <row r="10" spans="1:18" s="2" customFormat="1" ht="15" thickBot="1" x14ac:dyDescent="0.35">
      <c r="A10" s="105"/>
      <c r="B10" s="106"/>
      <c r="C10" s="106"/>
      <c r="D10" s="106"/>
      <c r="E10" s="12" t="s">
        <v>10</v>
      </c>
      <c r="F10" s="12" t="s">
        <v>11</v>
      </c>
      <c r="G10" s="13" t="s">
        <v>12</v>
      </c>
      <c r="H10" s="12" t="s">
        <v>13</v>
      </c>
      <c r="I10" s="14" t="s">
        <v>12</v>
      </c>
      <c r="J10" s="12" t="s">
        <v>13</v>
      </c>
      <c r="K10" s="14" t="s">
        <v>12</v>
      </c>
      <c r="L10" s="15" t="s">
        <v>13</v>
      </c>
      <c r="M10" s="14" t="s">
        <v>12</v>
      </c>
      <c r="N10" s="15" t="s">
        <v>14</v>
      </c>
      <c r="O10" s="3" t="s">
        <v>15</v>
      </c>
      <c r="P10" s="3"/>
    </row>
    <row r="11" spans="1:18" s="2" customFormat="1" ht="15" thickTop="1" x14ac:dyDescent="0.3">
      <c r="A11" s="104" t="s">
        <v>16</v>
      </c>
      <c r="B11" s="101"/>
      <c r="C11" s="16" t="s">
        <v>17</v>
      </c>
      <c r="D11" s="17"/>
      <c r="E11" s="107">
        <v>0.03</v>
      </c>
      <c r="F11" s="108"/>
      <c r="G11" s="109">
        <v>1</v>
      </c>
      <c r="H11" s="110"/>
      <c r="I11" s="111">
        <v>1.03</v>
      </c>
      <c r="J11" s="110"/>
      <c r="K11" s="111">
        <f>I11*1.03</f>
        <v>1.0609</v>
      </c>
      <c r="L11" s="112"/>
      <c r="M11" s="101"/>
      <c r="N11" s="113"/>
      <c r="O11" s="3"/>
      <c r="P11" s="3"/>
    </row>
    <row r="12" spans="1:18" s="2" customFormat="1" x14ac:dyDescent="0.3">
      <c r="A12" s="104"/>
      <c r="B12" s="101"/>
      <c r="C12" s="16" t="s">
        <v>18</v>
      </c>
      <c r="D12" s="17"/>
      <c r="E12" s="107">
        <v>0.05</v>
      </c>
      <c r="F12" s="108"/>
      <c r="G12" s="111">
        <v>1</v>
      </c>
      <c r="H12" s="110"/>
      <c r="I12" s="111">
        <v>1.05</v>
      </c>
      <c r="J12" s="110"/>
      <c r="K12" s="111">
        <v>1.1000000000000001</v>
      </c>
      <c r="L12" s="112"/>
      <c r="M12" s="101"/>
      <c r="N12" s="113"/>
      <c r="O12" s="3"/>
      <c r="P12" s="3"/>
    </row>
    <row r="13" spans="1:18" s="2" customFormat="1" x14ac:dyDescent="0.3">
      <c r="A13" s="114"/>
      <c r="B13" s="115"/>
      <c r="C13" s="18"/>
      <c r="D13" s="19"/>
      <c r="E13" s="20"/>
      <c r="F13" s="20"/>
      <c r="G13" s="114"/>
      <c r="H13" s="115"/>
      <c r="I13" s="114"/>
      <c r="J13" s="115"/>
      <c r="K13" s="114"/>
      <c r="L13" s="116"/>
      <c r="M13" s="114"/>
      <c r="N13" s="116"/>
      <c r="O13" s="3"/>
      <c r="P13" s="3"/>
    </row>
    <row r="14" spans="1:18" s="2" customFormat="1" x14ac:dyDescent="0.3">
      <c r="A14" s="21" t="s">
        <v>19</v>
      </c>
      <c r="B14" s="117"/>
      <c r="C14" s="22" t="s">
        <v>20</v>
      </c>
      <c r="D14" s="23"/>
      <c r="E14" s="24"/>
      <c r="F14" s="24"/>
      <c r="G14" s="118"/>
      <c r="H14" s="117"/>
      <c r="I14" s="118"/>
      <c r="J14" s="117"/>
      <c r="K14" s="118"/>
      <c r="L14" s="119"/>
      <c r="M14" s="118"/>
      <c r="N14" s="119"/>
      <c r="O14" s="3"/>
      <c r="P14" s="3"/>
    </row>
    <row r="15" spans="1:18" s="2" customFormat="1" x14ac:dyDescent="0.3">
      <c r="A15" s="104"/>
      <c r="B15" s="101"/>
      <c r="C15" s="17"/>
      <c r="D15" s="17"/>
      <c r="E15" s="120"/>
      <c r="F15" s="120"/>
      <c r="G15" s="104"/>
      <c r="H15" s="101"/>
      <c r="I15" s="104"/>
      <c r="J15" s="101"/>
      <c r="K15" s="104"/>
      <c r="L15" s="113"/>
      <c r="M15" s="104"/>
      <c r="N15" s="113"/>
      <c r="O15" s="3"/>
      <c r="P15" s="3"/>
    </row>
    <row r="16" spans="1:18" s="2" customFormat="1" x14ac:dyDescent="0.3">
      <c r="A16" s="25" t="s">
        <v>21</v>
      </c>
      <c r="B16" s="123"/>
      <c r="C16" s="7" t="s">
        <v>22</v>
      </c>
      <c r="D16" s="26"/>
      <c r="E16" s="26" t="s">
        <v>10</v>
      </c>
      <c r="F16" s="26" t="s">
        <v>11</v>
      </c>
      <c r="G16" s="124"/>
      <c r="H16" s="125"/>
      <c r="I16" s="124"/>
      <c r="J16" s="125"/>
      <c r="K16" s="124"/>
      <c r="L16" s="126"/>
      <c r="M16" s="124"/>
      <c r="N16" s="127"/>
      <c r="O16" s="3"/>
      <c r="P16" s="3"/>
    </row>
    <row r="17" spans="1:16" s="2" customFormat="1" x14ac:dyDescent="0.3">
      <c r="A17" s="128"/>
      <c r="B17" s="27" t="s">
        <v>23</v>
      </c>
      <c r="C17" s="28" t="s">
        <v>24</v>
      </c>
      <c r="D17" s="123"/>
      <c r="E17" s="123"/>
      <c r="F17" s="123"/>
      <c r="G17" s="129"/>
      <c r="H17" s="130"/>
      <c r="I17" s="129"/>
      <c r="J17" s="130"/>
      <c r="K17" s="129"/>
      <c r="L17" s="131"/>
      <c r="M17" s="129"/>
      <c r="N17" s="131"/>
      <c r="O17" s="3"/>
      <c r="P17" s="3"/>
    </row>
    <row r="18" spans="1:16" s="2" customFormat="1" x14ac:dyDescent="0.3">
      <c r="A18" s="128"/>
      <c r="B18" s="125">
        <v>1</v>
      </c>
      <c r="C18" s="29" t="s">
        <v>121</v>
      </c>
      <c r="D18" s="29"/>
      <c r="E18" s="132">
        <v>5000</v>
      </c>
      <c r="F18" s="133" t="s">
        <v>27</v>
      </c>
      <c r="G18" s="35">
        <v>11</v>
      </c>
      <c r="H18" s="134">
        <f>$E18*G18</f>
        <v>55000</v>
      </c>
      <c r="I18" s="35">
        <v>11</v>
      </c>
      <c r="J18" s="134">
        <f>($E18*I12)*I18</f>
        <v>57750</v>
      </c>
      <c r="K18" s="35">
        <v>11</v>
      </c>
      <c r="L18" s="134">
        <f>($E18*K12^2)*K18</f>
        <v>66550.000000000015</v>
      </c>
      <c r="M18" s="135"/>
      <c r="N18" s="136">
        <f>H18+J18+L18</f>
        <v>179300</v>
      </c>
      <c r="O18" s="3"/>
      <c r="P18" s="3">
        <f>52*5</f>
        <v>260</v>
      </c>
    </row>
    <row r="19" spans="1:16" s="2" customFormat="1" x14ac:dyDescent="0.3">
      <c r="A19" s="128"/>
      <c r="B19" s="125">
        <v>3</v>
      </c>
      <c r="C19" s="29" t="s">
        <v>26</v>
      </c>
      <c r="D19" s="29"/>
      <c r="E19" s="121">
        <v>1600</v>
      </c>
      <c r="F19" s="133" t="s">
        <v>27</v>
      </c>
      <c r="G19" s="35">
        <v>10</v>
      </c>
      <c r="H19" s="134">
        <f>B19*E19*G19</f>
        <v>48000</v>
      </c>
      <c r="I19" s="35">
        <v>11</v>
      </c>
      <c r="J19" s="134">
        <f>B19*E19*I19*$I$12</f>
        <v>55440</v>
      </c>
      <c r="K19" s="35">
        <v>10</v>
      </c>
      <c r="L19" s="134">
        <f>B19*K19*($K$12*E19)</f>
        <v>52800.000000000007</v>
      </c>
      <c r="M19" s="135"/>
      <c r="N19" s="136">
        <f>H19+J19+L19</f>
        <v>156240</v>
      </c>
      <c r="O19" s="3"/>
      <c r="P19" s="3"/>
    </row>
    <row r="20" spans="1:16" s="2" customFormat="1" x14ac:dyDescent="0.3">
      <c r="A20" s="128"/>
      <c r="B20" s="125">
        <v>1</v>
      </c>
      <c r="C20" s="29" t="s">
        <v>28</v>
      </c>
      <c r="D20" s="29"/>
      <c r="E20" s="132">
        <v>1500</v>
      </c>
      <c r="F20" s="133" t="s">
        <v>27</v>
      </c>
      <c r="G20" s="35">
        <f>G19</f>
        <v>10</v>
      </c>
      <c r="H20" s="134">
        <f t="shared" ref="H20" si="0">B20*E20*G20</f>
        <v>15000</v>
      </c>
      <c r="I20" s="35">
        <f>I19</f>
        <v>11</v>
      </c>
      <c r="J20" s="134">
        <f t="shared" ref="J20" si="1">B20*E20*I20*$I$12</f>
        <v>17325</v>
      </c>
      <c r="K20" s="35">
        <v>10</v>
      </c>
      <c r="L20" s="134">
        <f t="shared" ref="L20" si="2">B20*K20*($K$12*E20)</f>
        <v>16500.000000000004</v>
      </c>
      <c r="M20" s="135"/>
      <c r="N20" s="31">
        <f>H20+J20+L20</f>
        <v>48825</v>
      </c>
      <c r="O20" s="3"/>
      <c r="P20" s="3"/>
    </row>
    <row r="21" spans="1:16" s="4" customFormat="1" ht="13.2" x14ac:dyDescent="0.25">
      <c r="A21" s="32"/>
      <c r="B21" s="6"/>
      <c r="C21" s="33" t="s">
        <v>29</v>
      </c>
      <c r="D21" s="6"/>
      <c r="E21" s="34"/>
      <c r="F21" s="6"/>
      <c r="G21" s="35"/>
      <c r="H21" s="36">
        <f>SUM(H18:H20)</f>
        <v>118000</v>
      </c>
      <c r="I21" s="35"/>
      <c r="J21" s="37">
        <f>SUM(J18:J20)</f>
        <v>130515</v>
      </c>
      <c r="K21" s="38"/>
      <c r="L21" s="37">
        <f>ROUND(SUM(L18:L20),0)</f>
        <v>135850</v>
      </c>
      <c r="M21" s="39"/>
      <c r="N21" s="37">
        <f>SUM(N18:N20)</f>
        <v>384365</v>
      </c>
      <c r="O21" s="40">
        <f>L21+J21+H21</f>
        <v>384365</v>
      </c>
      <c r="P21" s="40"/>
    </row>
    <row r="22" spans="1:16" s="2" customFormat="1" x14ac:dyDescent="0.3">
      <c r="A22" s="128"/>
      <c r="B22" s="123"/>
      <c r="C22" s="123"/>
      <c r="D22" s="123"/>
      <c r="E22" s="137"/>
      <c r="F22" s="123"/>
      <c r="G22" s="35"/>
      <c r="H22" s="134"/>
      <c r="I22" s="35"/>
      <c r="J22" s="136"/>
      <c r="K22" s="38"/>
      <c r="L22" s="136"/>
      <c r="M22" s="135"/>
      <c r="N22" s="136"/>
      <c r="O22" s="3"/>
      <c r="P22" s="3"/>
    </row>
    <row r="23" spans="1:16" s="2" customFormat="1" ht="15.6" x14ac:dyDescent="0.4">
      <c r="A23" s="128"/>
      <c r="B23" s="27" t="s">
        <v>30</v>
      </c>
      <c r="C23" s="28" t="s">
        <v>31</v>
      </c>
      <c r="D23" s="123"/>
      <c r="E23" s="137"/>
      <c r="F23" s="123"/>
      <c r="G23" s="41"/>
      <c r="H23" s="42"/>
      <c r="I23" s="41"/>
      <c r="J23" s="42"/>
      <c r="K23" s="41"/>
      <c r="L23" s="43"/>
      <c r="M23" s="41"/>
      <c r="N23" s="136"/>
      <c r="O23" s="3"/>
      <c r="P23" s="3"/>
    </row>
    <row r="24" spans="1:16" s="2" customFormat="1" x14ac:dyDescent="0.3">
      <c r="A24" s="128"/>
      <c r="B24" s="123"/>
      <c r="C24" s="6" t="s">
        <v>100</v>
      </c>
      <c r="D24" s="6"/>
      <c r="E24" s="132">
        <v>500</v>
      </c>
      <c r="F24" s="133" t="s">
        <v>25</v>
      </c>
      <c r="G24" s="138">
        <v>60</v>
      </c>
      <c r="H24" s="134">
        <f>E24*G24</f>
        <v>30000</v>
      </c>
      <c r="I24" s="138">
        <v>60</v>
      </c>
      <c r="J24" s="134">
        <f>E24*I24*$I$12</f>
        <v>31500</v>
      </c>
      <c r="K24" s="138">
        <v>60</v>
      </c>
      <c r="L24" s="134">
        <f>E24*K24*$K$12</f>
        <v>33000</v>
      </c>
      <c r="M24" s="135"/>
      <c r="N24" s="136">
        <f>H24+J24+L24</f>
        <v>94500</v>
      </c>
      <c r="O24" s="44"/>
      <c r="P24" s="3"/>
    </row>
    <row r="25" spans="1:16" s="4" customFormat="1" ht="13.2" x14ac:dyDescent="0.25">
      <c r="A25" s="32"/>
      <c r="B25" s="6"/>
      <c r="C25" s="33" t="s">
        <v>32</v>
      </c>
      <c r="D25" s="6"/>
      <c r="E25" s="34"/>
      <c r="F25" s="6"/>
      <c r="G25" s="35">
        <f>ROUND(SUM(G24:G24),0)</f>
        <v>60</v>
      </c>
      <c r="H25" s="36">
        <f>SUM(H24:H24)</f>
        <v>30000</v>
      </c>
      <c r="I25" s="35">
        <f>ROUND(SUM(I24:I24),0)</f>
        <v>60</v>
      </c>
      <c r="J25" s="37">
        <f>SUM(J24:J24)</f>
        <v>31500</v>
      </c>
      <c r="K25" s="38">
        <f>ROUND(SUM(K24:K24),0)</f>
        <v>60</v>
      </c>
      <c r="L25" s="37">
        <f>SUM(L24:L24)</f>
        <v>33000</v>
      </c>
      <c r="M25" s="135"/>
      <c r="N25" s="37">
        <f>H25+J25+L25</f>
        <v>94500</v>
      </c>
      <c r="O25" s="40">
        <f>L25+J25+H25</f>
        <v>94500</v>
      </c>
      <c r="P25" s="46"/>
    </row>
    <row r="26" spans="1:16" s="2" customFormat="1" x14ac:dyDescent="0.3">
      <c r="A26" s="128"/>
      <c r="B26" s="123"/>
      <c r="C26" s="123"/>
      <c r="D26" s="123"/>
      <c r="E26" s="123"/>
      <c r="F26" s="123"/>
      <c r="G26" s="138"/>
      <c r="H26" s="134"/>
      <c r="I26" s="138"/>
      <c r="J26" s="134"/>
      <c r="K26" s="138"/>
      <c r="L26" s="136"/>
      <c r="M26" s="138"/>
      <c r="N26" s="136"/>
      <c r="O26" s="3"/>
      <c r="P26" s="3"/>
    </row>
    <row r="27" spans="1:16" s="1" customFormat="1" ht="13.2" x14ac:dyDescent="0.25">
      <c r="A27" s="25"/>
      <c r="B27" s="7"/>
      <c r="C27" s="47" t="s">
        <v>33</v>
      </c>
      <c r="D27" s="7"/>
      <c r="E27" s="7"/>
      <c r="F27" s="7"/>
      <c r="G27" s="48"/>
      <c r="H27" s="36">
        <f>H21+H25</f>
        <v>148000</v>
      </c>
      <c r="I27" s="48"/>
      <c r="J27" s="36">
        <f>J21+J25</f>
        <v>162015</v>
      </c>
      <c r="K27" s="48"/>
      <c r="L27" s="37">
        <f>L21+L25</f>
        <v>168850</v>
      </c>
      <c r="M27" s="48"/>
      <c r="N27" s="37">
        <f>N25+N21</f>
        <v>478865</v>
      </c>
      <c r="O27" s="40">
        <f>L27+J27+H27</f>
        <v>478865</v>
      </c>
      <c r="P27" s="49"/>
    </row>
    <row r="28" spans="1:16" s="2" customFormat="1" x14ac:dyDescent="0.3">
      <c r="A28" s="128"/>
      <c r="B28" s="123"/>
      <c r="C28" s="123"/>
      <c r="D28" s="123"/>
      <c r="E28" s="123"/>
      <c r="F28" s="123"/>
      <c r="G28" s="129"/>
      <c r="H28" s="130"/>
      <c r="I28" s="129"/>
      <c r="J28" s="130"/>
      <c r="K28" s="129"/>
      <c r="L28" s="131"/>
      <c r="M28" s="129"/>
      <c r="N28" s="136"/>
      <c r="O28" s="3"/>
      <c r="P28" s="3"/>
    </row>
    <row r="29" spans="1:16" s="2" customFormat="1" x14ac:dyDescent="0.3">
      <c r="A29" s="25" t="s">
        <v>34</v>
      </c>
      <c r="B29" s="139"/>
      <c r="C29" s="7" t="s">
        <v>35</v>
      </c>
      <c r="D29" s="123"/>
      <c r="E29" s="123"/>
      <c r="F29" s="123"/>
      <c r="G29" s="129"/>
      <c r="H29" s="130"/>
      <c r="I29" s="129"/>
      <c r="J29" s="130"/>
      <c r="K29" s="129"/>
      <c r="L29" s="131"/>
      <c r="M29" s="129"/>
      <c r="N29" s="136"/>
      <c r="O29" s="3"/>
      <c r="P29" s="3"/>
    </row>
    <row r="30" spans="1:16" s="2" customFormat="1" x14ac:dyDescent="0.3">
      <c r="A30" s="140"/>
      <c r="B30" s="27"/>
      <c r="C30" s="123" t="s">
        <v>36</v>
      </c>
      <c r="D30" s="123"/>
      <c r="E30" s="141">
        <v>0.3</v>
      </c>
      <c r="F30" s="141"/>
      <c r="G30" s="35">
        <f>ROUND(H18,0)</f>
        <v>55000</v>
      </c>
      <c r="H30" s="134">
        <f>ROUND(G30*$E$30,0)</f>
        <v>16500</v>
      </c>
      <c r="I30" s="35">
        <f>ROUND(J18,0)</f>
        <v>57750</v>
      </c>
      <c r="J30" s="136">
        <f>ROUND(I30*$E$30,0)</f>
        <v>17325</v>
      </c>
      <c r="K30" s="35">
        <f>ROUND(L18,0)</f>
        <v>66550</v>
      </c>
      <c r="L30" s="136">
        <f>ROUND(K30*$E$30,0)</f>
        <v>19965</v>
      </c>
      <c r="M30" s="138"/>
      <c r="N30" s="136">
        <f>H30+J30+L30</f>
        <v>53790</v>
      </c>
      <c r="O30" s="3"/>
      <c r="P30" s="3"/>
    </row>
    <row r="31" spans="1:16" s="2" customFormat="1" x14ac:dyDescent="0.3">
      <c r="A31" s="140"/>
      <c r="B31" s="27"/>
      <c r="C31" s="123" t="s">
        <v>37</v>
      </c>
      <c r="D31" s="123"/>
      <c r="E31" s="141">
        <v>0.3</v>
      </c>
      <c r="F31" s="141"/>
      <c r="G31" s="35">
        <f>H25</f>
        <v>30000</v>
      </c>
      <c r="H31" s="134">
        <f>ROUND(G31*$E$31,0)</f>
        <v>9000</v>
      </c>
      <c r="I31" s="35">
        <f>J25</f>
        <v>31500</v>
      </c>
      <c r="J31" s="136">
        <f>ROUND(I31*$E$31,0)</f>
        <v>9450</v>
      </c>
      <c r="K31" s="35">
        <f>L25</f>
        <v>33000</v>
      </c>
      <c r="L31" s="136">
        <f>ROUND(K31*$E$31,0)</f>
        <v>9900</v>
      </c>
      <c r="M31" s="138"/>
      <c r="N31" s="136">
        <f>H31+J31+L31</f>
        <v>28350</v>
      </c>
      <c r="O31" s="3"/>
      <c r="P31" s="3"/>
    </row>
    <row r="32" spans="1:16" s="2" customFormat="1" x14ac:dyDescent="0.3">
      <c r="A32" s="140"/>
      <c r="B32" s="27"/>
      <c r="C32" s="123" t="s">
        <v>38</v>
      </c>
      <c r="D32" s="123"/>
      <c r="E32" s="83">
        <v>0.4</v>
      </c>
      <c r="F32" s="141"/>
      <c r="G32" s="35">
        <f>SUM(H19:H20)</f>
        <v>63000</v>
      </c>
      <c r="H32" s="134">
        <f>ROUND(G32*$E$32,0)</f>
        <v>25200</v>
      </c>
      <c r="I32" s="35">
        <f>SUM(J19:J20)</f>
        <v>72765</v>
      </c>
      <c r="J32" s="136">
        <f>ROUND(I32*$E$32,0)</f>
        <v>29106</v>
      </c>
      <c r="K32" s="35">
        <f>SUM(L19:L20)</f>
        <v>69300.000000000015</v>
      </c>
      <c r="L32" s="136">
        <f>ROUND(K32*$E$32,0)</f>
        <v>27720</v>
      </c>
      <c r="M32" s="138"/>
      <c r="N32" s="136">
        <f>H32+J32+L32</f>
        <v>82026</v>
      </c>
      <c r="O32" s="3"/>
      <c r="P32" s="3"/>
    </row>
    <row r="33" spans="1:18" s="2" customFormat="1" x14ac:dyDescent="0.3">
      <c r="A33" s="140"/>
      <c r="B33" s="139"/>
      <c r="C33" s="123"/>
      <c r="D33" s="123"/>
      <c r="E33" s="141"/>
      <c r="F33" s="141"/>
      <c r="G33" s="142"/>
      <c r="H33" s="143"/>
      <c r="I33" s="142"/>
      <c r="J33" s="143"/>
      <c r="K33" s="142"/>
      <c r="L33" s="144"/>
      <c r="M33" s="145"/>
      <c r="N33" s="136"/>
      <c r="O33" s="3"/>
      <c r="P33" s="3"/>
    </row>
    <row r="34" spans="1:18" s="1" customFormat="1" ht="13.2" x14ac:dyDescent="0.25">
      <c r="A34" s="50"/>
      <c r="B34" s="51"/>
      <c r="C34" s="47" t="s">
        <v>39</v>
      </c>
      <c r="D34" s="7"/>
      <c r="E34" s="7"/>
      <c r="F34" s="7"/>
      <c r="G34" s="52"/>
      <c r="H34" s="53">
        <f>ROUND(SUM(H30:H33),0)</f>
        <v>50700</v>
      </c>
      <c r="I34" s="52"/>
      <c r="J34" s="53">
        <f>ROUND(SUM(J30:J33),0)</f>
        <v>55881</v>
      </c>
      <c r="K34" s="52"/>
      <c r="L34" s="54">
        <f>ROUND(SUM(L30:L33),0)</f>
        <v>57585</v>
      </c>
      <c r="M34" s="52"/>
      <c r="N34" s="37">
        <f>SUM(N30:N33)</f>
        <v>164166</v>
      </c>
      <c r="O34" s="40">
        <f>L34+J34+H34</f>
        <v>164166</v>
      </c>
      <c r="P34" s="49"/>
    </row>
    <row r="35" spans="1:18" s="2" customFormat="1" x14ac:dyDescent="0.3">
      <c r="A35" s="140"/>
      <c r="B35" s="139"/>
      <c r="C35" s="123"/>
      <c r="D35" s="123"/>
      <c r="E35" s="141"/>
      <c r="F35" s="141"/>
      <c r="G35" s="129"/>
      <c r="H35" s="130"/>
      <c r="I35" s="129"/>
      <c r="J35" s="130"/>
      <c r="K35" s="129"/>
      <c r="L35" s="131"/>
      <c r="M35" s="129"/>
      <c r="N35" s="136"/>
      <c r="O35" s="3"/>
      <c r="P35" s="3"/>
    </row>
    <row r="36" spans="1:18" s="2" customFormat="1" x14ac:dyDescent="0.3">
      <c r="A36" s="50"/>
      <c r="B36" s="123"/>
      <c r="C36" s="7" t="s">
        <v>40</v>
      </c>
      <c r="D36" s="7"/>
      <c r="E36" s="55"/>
      <c r="F36" s="55"/>
      <c r="G36" s="52"/>
      <c r="H36" s="53">
        <f>+H27+H34</f>
        <v>198700</v>
      </c>
      <c r="I36" s="52"/>
      <c r="J36" s="53">
        <f>+J27+J34</f>
        <v>217896</v>
      </c>
      <c r="K36" s="52"/>
      <c r="L36" s="53">
        <f>+L27+L34</f>
        <v>226435</v>
      </c>
      <c r="M36" s="56"/>
      <c r="N36" s="37">
        <f>N34+N27</f>
        <v>643031</v>
      </c>
      <c r="O36" s="40">
        <f>L36+J36+H36</f>
        <v>643031</v>
      </c>
      <c r="P36" s="57"/>
    </row>
    <row r="37" spans="1:18" s="2" customFormat="1" x14ac:dyDescent="0.3">
      <c r="A37" s="140"/>
      <c r="B37" s="139"/>
      <c r="C37" s="123"/>
      <c r="D37" s="123"/>
      <c r="E37" s="141"/>
      <c r="F37" s="141"/>
      <c r="G37" s="129"/>
      <c r="H37" s="130"/>
      <c r="I37" s="129"/>
      <c r="J37" s="130"/>
      <c r="K37" s="129"/>
      <c r="L37" s="131"/>
      <c r="M37" s="129"/>
      <c r="N37" s="136"/>
      <c r="O37" s="3"/>
      <c r="P37" s="3"/>
    </row>
    <row r="38" spans="1:18" s="2" customFormat="1" x14ac:dyDescent="0.3">
      <c r="A38" s="128"/>
      <c r="B38" s="123"/>
      <c r="C38" s="6"/>
      <c r="D38" s="6"/>
      <c r="E38" s="6"/>
      <c r="F38" s="6"/>
      <c r="G38" s="58"/>
      <c r="H38" s="59"/>
      <c r="I38" s="58"/>
      <c r="J38" s="59"/>
      <c r="K38" s="58"/>
      <c r="L38" s="60"/>
      <c r="M38" s="58"/>
      <c r="N38" s="136"/>
      <c r="O38" s="3"/>
      <c r="P38" s="3"/>
      <c r="Q38" s="57"/>
    </row>
    <row r="39" spans="1:18" s="2" customFormat="1" x14ac:dyDescent="0.3">
      <c r="A39" s="21" t="s">
        <v>41</v>
      </c>
      <c r="B39" s="146"/>
      <c r="C39" s="22" t="s">
        <v>42</v>
      </c>
      <c r="D39" s="23"/>
      <c r="E39" s="24"/>
      <c r="F39" s="24"/>
      <c r="G39" s="147"/>
      <c r="H39" s="146"/>
      <c r="I39" s="147"/>
      <c r="J39" s="146"/>
      <c r="K39" s="147"/>
      <c r="L39" s="148"/>
      <c r="M39" s="147"/>
      <c r="N39" s="148"/>
      <c r="O39" s="3"/>
      <c r="P39" s="3"/>
    </row>
    <row r="40" spans="1:18" s="2" customFormat="1" x14ac:dyDescent="0.3">
      <c r="A40" s="128"/>
      <c r="B40" s="123"/>
      <c r="C40" s="123"/>
      <c r="D40" s="123"/>
      <c r="E40" s="123"/>
      <c r="F40" s="123"/>
      <c r="G40" s="129"/>
      <c r="H40" s="130"/>
      <c r="I40" s="129"/>
      <c r="J40" s="130"/>
      <c r="K40" s="129"/>
      <c r="L40" s="131"/>
      <c r="M40" s="129"/>
      <c r="N40" s="136"/>
      <c r="O40" s="3"/>
      <c r="P40" s="3"/>
    </row>
    <row r="41" spans="1:18" s="2" customFormat="1" x14ac:dyDescent="0.3">
      <c r="A41" s="25" t="s">
        <v>21</v>
      </c>
      <c r="B41" s="149"/>
      <c r="C41" s="7" t="s">
        <v>43</v>
      </c>
      <c r="D41" s="123"/>
      <c r="E41" s="123"/>
      <c r="F41" s="123"/>
      <c r="G41" s="129"/>
      <c r="H41" s="130"/>
      <c r="I41" s="129"/>
      <c r="J41" s="130"/>
      <c r="K41" s="129"/>
      <c r="L41" s="131"/>
      <c r="M41" s="129"/>
      <c r="N41" s="136"/>
      <c r="O41" s="3"/>
      <c r="P41" s="3"/>
    </row>
    <row r="42" spans="1:18" s="2" customFormat="1" x14ac:dyDescent="0.3">
      <c r="A42" s="128"/>
      <c r="B42" s="123"/>
      <c r="C42" s="6" t="s">
        <v>116</v>
      </c>
      <c r="D42" s="123" t="s">
        <v>46</v>
      </c>
      <c r="E42" s="132">
        <v>3500</v>
      </c>
      <c r="F42" s="150" t="s">
        <v>44</v>
      </c>
      <c r="G42" s="138"/>
      <c r="H42" s="30">
        <v>2</v>
      </c>
      <c r="I42" s="138"/>
      <c r="J42" s="31">
        <v>2</v>
      </c>
      <c r="K42" s="134"/>
      <c r="L42" s="31">
        <v>2</v>
      </c>
      <c r="M42" s="45"/>
      <c r="N42" s="31">
        <f t="shared" ref="N42" si="3">H42+J42+L42</f>
        <v>6</v>
      </c>
      <c r="O42" s="3"/>
      <c r="P42" s="3"/>
      <c r="R42" s="61"/>
    </row>
    <row r="43" spans="1:18" s="2" customFormat="1" x14ac:dyDescent="0.3">
      <c r="A43" s="128"/>
      <c r="B43" s="123"/>
      <c r="C43" s="47" t="s">
        <v>47</v>
      </c>
      <c r="D43" s="7"/>
      <c r="E43" s="7"/>
      <c r="F43" s="7"/>
      <c r="G43" s="48"/>
      <c r="H43" s="36">
        <f>SUM(H42:H42)</f>
        <v>2</v>
      </c>
      <c r="I43" s="48"/>
      <c r="J43" s="37">
        <f>SUM(J42:J42)</f>
        <v>2</v>
      </c>
      <c r="K43" s="48"/>
      <c r="L43" s="37">
        <f>SUM(L42:L42)</f>
        <v>2</v>
      </c>
      <c r="M43" s="48"/>
      <c r="N43" s="37">
        <f>SUM(N42:N42)</f>
        <v>6</v>
      </c>
      <c r="O43" s="40">
        <f>L43+J43+H43</f>
        <v>6</v>
      </c>
      <c r="P43" s="57"/>
    </row>
    <row r="44" spans="1:18" s="2" customFormat="1" x14ac:dyDescent="0.3">
      <c r="A44" s="128"/>
      <c r="B44" s="123"/>
      <c r="C44" s="123"/>
      <c r="D44" s="123"/>
      <c r="E44" s="150"/>
      <c r="F44" s="150"/>
      <c r="G44" s="138"/>
      <c r="H44" s="134"/>
      <c r="I44" s="138"/>
      <c r="J44" s="134"/>
      <c r="K44" s="138"/>
      <c r="L44" s="136"/>
      <c r="M44" s="138"/>
      <c r="N44" s="136"/>
      <c r="O44" s="3"/>
      <c r="P44" s="3"/>
    </row>
    <row r="45" spans="1:18" s="2" customFormat="1" x14ac:dyDescent="0.3">
      <c r="A45" s="25" t="s">
        <v>34</v>
      </c>
      <c r="B45" s="149"/>
      <c r="C45" s="7" t="s">
        <v>48</v>
      </c>
      <c r="D45" s="123"/>
      <c r="E45" s="123"/>
      <c r="F45" s="123"/>
      <c r="G45" s="129"/>
      <c r="H45" s="130"/>
      <c r="I45" s="129"/>
      <c r="J45" s="130"/>
      <c r="K45" s="129"/>
      <c r="L45" s="131"/>
      <c r="M45" s="129"/>
      <c r="N45" s="136"/>
      <c r="O45" s="3"/>
      <c r="P45" s="3"/>
    </row>
    <row r="46" spans="1:18" s="2" customFormat="1" x14ac:dyDescent="0.3">
      <c r="A46" s="128"/>
      <c r="B46" s="123"/>
      <c r="C46" s="6" t="s">
        <v>117</v>
      </c>
      <c r="D46" s="123" t="s">
        <v>46</v>
      </c>
      <c r="E46" s="121">
        <v>250</v>
      </c>
      <c r="F46" s="153" t="s">
        <v>25</v>
      </c>
      <c r="G46" s="138">
        <f>H43*10</f>
        <v>20</v>
      </c>
      <c r="H46" s="134">
        <f>E46*G46</f>
        <v>5000</v>
      </c>
      <c r="I46" s="138">
        <f>J43*10</f>
        <v>20</v>
      </c>
      <c r="J46" s="134">
        <f>E46*I46*$I$11</f>
        <v>5150</v>
      </c>
      <c r="K46" s="138">
        <f>L43*10</f>
        <v>20</v>
      </c>
      <c r="L46" s="136">
        <f>E46*K46*$K$11</f>
        <v>5304.5</v>
      </c>
      <c r="M46" s="138"/>
      <c r="N46" s="136">
        <f>H46+J46+L46</f>
        <v>15454.5</v>
      </c>
      <c r="O46" s="3"/>
      <c r="P46" s="3"/>
    </row>
    <row r="47" spans="1:18" s="2" customFormat="1" ht="12" customHeight="1" x14ac:dyDescent="0.3">
      <c r="A47" s="128"/>
      <c r="B47" s="125"/>
      <c r="C47" s="6" t="s">
        <v>118</v>
      </c>
      <c r="D47" s="123"/>
      <c r="E47" s="132">
        <v>120</v>
      </c>
      <c r="F47" s="153" t="s">
        <v>25</v>
      </c>
      <c r="G47" s="35">
        <f>5*G19*$B19</f>
        <v>150</v>
      </c>
      <c r="H47" s="134">
        <f>E47*G47</f>
        <v>18000</v>
      </c>
      <c r="I47" s="138">
        <f>5*I19*$B19</f>
        <v>165</v>
      </c>
      <c r="J47" s="134">
        <f>E47*I47*$I$11</f>
        <v>20394</v>
      </c>
      <c r="K47" s="35">
        <f>5*K19*$B19</f>
        <v>150</v>
      </c>
      <c r="L47" s="136">
        <f>E47*K47*$K$11</f>
        <v>19096.2</v>
      </c>
      <c r="M47" s="138"/>
      <c r="N47" s="136">
        <f>H47+J47+L47</f>
        <v>57490.2</v>
      </c>
      <c r="O47" s="3"/>
      <c r="P47" s="3"/>
    </row>
    <row r="48" spans="1:18" s="2" customFormat="1" x14ac:dyDescent="0.3">
      <c r="A48" s="128"/>
      <c r="B48" s="123"/>
      <c r="C48" s="123"/>
      <c r="D48" s="154"/>
      <c r="E48" s="59"/>
      <c r="F48" s="153"/>
      <c r="G48" s="138"/>
      <c r="H48" s="134"/>
      <c r="I48" s="138"/>
      <c r="J48" s="134"/>
      <c r="K48" s="138"/>
      <c r="L48" s="136"/>
      <c r="M48" s="138"/>
      <c r="N48" s="136"/>
      <c r="O48" s="3"/>
      <c r="P48" s="3"/>
    </row>
    <row r="49" spans="1:16" s="2" customFormat="1" x14ac:dyDescent="0.3">
      <c r="A49" s="128"/>
      <c r="B49" s="123"/>
      <c r="C49" s="47" t="s">
        <v>49</v>
      </c>
      <c r="D49" s="154"/>
      <c r="E49" s="130"/>
      <c r="F49" s="153"/>
      <c r="G49" s="138"/>
      <c r="H49" s="36">
        <f>SUM(H46:H48)</f>
        <v>23000</v>
      </c>
      <c r="I49" s="138"/>
      <c r="J49" s="37">
        <f>SUM(J46:J48)</f>
        <v>25544</v>
      </c>
      <c r="K49" s="138"/>
      <c r="L49" s="37">
        <f>SUM(L46:L48)</f>
        <v>24400.7</v>
      </c>
      <c r="M49" s="138"/>
      <c r="N49" s="37">
        <f>SUM(N46:N48)</f>
        <v>72944.7</v>
      </c>
      <c r="O49" s="40">
        <f>L49+J49+H49</f>
        <v>72944.7</v>
      </c>
      <c r="P49" s="57"/>
    </row>
    <row r="50" spans="1:16" s="2" customFormat="1" x14ac:dyDescent="0.3">
      <c r="A50" s="128"/>
      <c r="B50" s="123"/>
      <c r="C50" s="123"/>
      <c r="D50" s="154"/>
      <c r="E50" s="130"/>
      <c r="F50" s="153"/>
      <c r="G50" s="138"/>
      <c r="H50" s="134"/>
      <c r="I50" s="138"/>
      <c r="J50" s="134"/>
      <c r="K50" s="138"/>
      <c r="L50" s="136"/>
      <c r="M50" s="138"/>
      <c r="N50" s="136"/>
      <c r="O50" s="3"/>
      <c r="P50" s="3"/>
    </row>
    <row r="51" spans="1:16" s="2" customFormat="1" x14ac:dyDescent="0.3">
      <c r="A51" s="25" t="s">
        <v>50</v>
      </c>
      <c r="B51" s="149"/>
      <c r="C51" s="7" t="s">
        <v>51</v>
      </c>
      <c r="D51" s="123"/>
      <c r="E51" s="123"/>
      <c r="F51" s="123"/>
      <c r="G51" s="129"/>
      <c r="H51" s="130"/>
      <c r="I51" s="129"/>
      <c r="J51" s="130"/>
      <c r="K51" s="129"/>
      <c r="L51" s="131"/>
      <c r="M51" s="129"/>
      <c r="N51" s="136"/>
      <c r="O51" s="3"/>
      <c r="P51" s="3"/>
    </row>
    <row r="52" spans="1:16" s="2" customFormat="1" x14ac:dyDescent="0.3">
      <c r="A52" s="128"/>
      <c r="B52" s="139"/>
      <c r="C52" s="6" t="s">
        <v>53</v>
      </c>
      <c r="D52" s="123" t="s">
        <v>54</v>
      </c>
      <c r="E52" s="132">
        <v>250</v>
      </c>
      <c r="F52" s="153" t="s">
        <v>52</v>
      </c>
      <c r="G52" s="138">
        <f>H43</f>
        <v>2</v>
      </c>
      <c r="H52" s="134">
        <f t="shared" ref="H52:H56" si="4">E52*G52</f>
        <v>500</v>
      </c>
      <c r="I52" s="138">
        <f>J43</f>
        <v>2</v>
      </c>
      <c r="J52" s="134">
        <f>E52*I52*$I$11</f>
        <v>515</v>
      </c>
      <c r="K52" s="138">
        <f>L43</f>
        <v>2</v>
      </c>
      <c r="L52" s="136">
        <f t="shared" ref="L52:L56" si="5">E52*K52*$K$11</f>
        <v>530.44999999999993</v>
      </c>
      <c r="M52" s="138"/>
      <c r="N52" s="136">
        <f t="shared" ref="N52:N56" si="6">H52+J52+L52</f>
        <v>1545.4499999999998</v>
      </c>
      <c r="O52" s="3"/>
      <c r="P52" s="3"/>
    </row>
    <row r="53" spans="1:16" s="2" customFormat="1" x14ac:dyDescent="0.3">
      <c r="A53" s="128"/>
      <c r="B53" s="155"/>
      <c r="C53" s="123" t="s">
        <v>55</v>
      </c>
      <c r="D53" s="123"/>
      <c r="E53" s="132">
        <v>300</v>
      </c>
      <c r="F53" s="62" t="s">
        <v>56</v>
      </c>
      <c r="G53" s="138">
        <v>11</v>
      </c>
      <c r="H53" s="38">
        <f t="shared" si="4"/>
        <v>3300</v>
      </c>
      <c r="I53" s="138">
        <v>12</v>
      </c>
      <c r="J53" s="134">
        <f>E53*I53*$I$11</f>
        <v>3708</v>
      </c>
      <c r="K53" s="138">
        <v>11</v>
      </c>
      <c r="L53" s="136">
        <f t="shared" si="5"/>
        <v>3500.97</v>
      </c>
      <c r="M53" s="138"/>
      <c r="N53" s="63">
        <f t="shared" si="6"/>
        <v>10508.97</v>
      </c>
      <c r="O53" s="3"/>
      <c r="P53" s="3"/>
    </row>
    <row r="54" spans="1:16" s="2" customFormat="1" x14ac:dyDescent="0.3">
      <c r="A54" s="128"/>
      <c r="B54" s="155"/>
      <c r="C54" s="123" t="s">
        <v>57</v>
      </c>
      <c r="D54" s="123"/>
      <c r="E54" s="132">
        <v>50</v>
      </c>
      <c r="F54" s="62" t="s">
        <v>56</v>
      </c>
      <c r="G54" s="138">
        <v>11</v>
      </c>
      <c r="H54" s="38">
        <f t="shared" si="4"/>
        <v>550</v>
      </c>
      <c r="I54" s="138">
        <v>12</v>
      </c>
      <c r="J54" s="134">
        <f>E54*I54*$I$11</f>
        <v>618</v>
      </c>
      <c r="K54" s="138">
        <v>11</v>
      </c>
      <c r="L54" s="136">
        <f t="shared" si="5"/>
        <v>583.495</v>
      </c>
      <c r="M54" s="138"/>
      <c r="N54" s="63">
        <f t="shared" si="6"/>
        <v>1751.4949999999999</v>
      </c>
      <c r="O54" s="3"/>
      <c r="P54" s="3"/>
    </row>
    <row r="55" spans="1:16" s="2" customFormat="1" x14ac:dyDescent="0.3">
      <c r="A55" s="128"/>
      <c r="B55" s="155"/>
      <c r="C55" s="123" t="s">
        <v>58</v>
      </c>
      <c r="D55" s="123"/>
      <c r="E55" s="132">
        <v>150</v>
      </c>
      <c r="F55" s="62" t="s">
        <v>56</v>
      </c>
      <c r="G55" s="138">
        <v>11</v>
      </c>
      <c r="H55" s="38">
        <f t="shared" si="4"/>
        <v>1650</v>
      </c>
      <c r="I55" s="138">
        <v>12</v>
      </c>
      <c r="J55" s="134">
        <f>E55*I55*$I$11</f>
        <v>1854</v>
      </c>
      <c r="K55" s="138">
        <v>11</v>
      </c>
      <c r="L55" s="136">
        <f t="shared" si="5"/>
        <v>1750.4849999999999</v>
      </c>
      <c r="M55" s="138"/>
      <c r="N55" s="63">
        <f t="shared" si="6"/>
        <v>5254.4849999999997</v>
      </c>
      <c r="O55" s="3"/>
      <c r="P55" s="3"/>
    </row>
    <row r="56" spans="1:16" s="2" customFormat="1" x14ac:dyDescent="0.3">
      <c r="A56" s="128"/>
      <c r="B56" s="155"/>
      <c r="C56" s="6" t="s">
        <v>59</v>
      </c>
      <c r="D56" s="123"/>
      <c r="E56" s="132">
        <v>150</v>
      </c>
      <c r="F56" s="62" t="s">
        <v>56</v>
      </c>
      <c r="G56" s="138">
        <v>12</v>
      </c>
      <c r="H56" s="30">
        <f t="shared" si="4"/>
        <v>1800</v>
      </c>
      <c r="I56" s="138">
        <v>12</v>
      </c>
      <c r="J56" s="30">
        <f>E56*I56*$I$11</f>
        <v>1854</v>
      </c>
      <c r="K56" s="138">
        <v>11</v>
      </c>
      <c r="L56" s="31">
        <f t="shared" si="5"/>
        <v>1750.4849999999999</v>
      </c>
      <c r="M56" s="138"/>
      <c r="N56" s="31">
        <f t="shared" si="6"/>
        <v>5404.4849999999997</v>
      </c>
      <c r="O56" s="3"/>
      <c r="P56" s="3"/>
    </row>
    <row r="57" spans="1:16" s="2" customFormat="1" x14ac:dyDescent="0.3">
      <c r="A57" s="128"/>
      <c r="B57" s="155"/>
      <c r="C57" s="123"/>
      <c r="D57" s="123"/>
      <c r="E57" s="132"/>
      <c r="F57" s="64"/>
      <c r="G57" s="138"/>
      <c r="H57" s="30"/>
      <c r="I57" s="138"/>
      <c r="J57" s="30"/>
      <c r="K57" s="138"/>
      <c r="L57" s="31"/>
      <c r="M57" s="138"/>
      <c r="N57" s="31"/>
      <c r="O57" s="3"/>
      <c r="P57" s="3"/>
    </row>
    <row r="58" spans="1:16" s="2" customFormat="1" x14ac:dyDescent="0.3">
      <c r="A58" s="128"/>
      <c r="B58" s="155"/>
      <c r="C58" s="47" t="s">
        <v>60</v>
      </c>
      <c r="D58" s="123"/>
      <c r="E58" s="132"/>
      <c r="F58" s="64"/>
      <c r="G58" s="138"/>
      <c r="H58" s="36">
        <f>SUM(H52:H57)</f>
        <v>7800</v>
      </c>
      <c r="I58" s="138"/>
      <c r="J58" s="37">
        <f>SUM(J52:J57)</f>
        <v>8549</v>
      </c>
      <c r="K58" s="138"/>
      <c r="L58" s="37">
        <f>SUM(L52:L57)</f>
        <v>8115.8849999999993</v>
      </c>
      <c r="M58" s="138"/>
      <c r="N58" s="37">
        <f>SUM(N52:N57)</f>
        <v>24464.884999999998</v>
      </c>
      <c r="O58" s="40">
        <f>L58+J58+H58</f>
        <v>24464.884999999998</v>
      </c>
      <c r="P58" s="57"/>
    </row>
    <row r="59" spans="1:16" s="2" customFormat="1" x14ac:dyDescent="0.3">
      <c r="A59" s="128"/>
      <c r="B59" s="139"/>
      <c r="C59" s="123"/>
      <c r="D59" s="122"/>
      <c r="E59" s="121"/>
      <c r="F59" s="64"/>
      <c r="G59" s="156"/>
      <c r="H59" s="157"/>
      <c r="I59" s="156"/>
      <c r="J59" s="157"/>
      <c r="K59" s="156"/>
      <c r="L59" s="158"/>
      <c r="M59" s="159"/>
      <c r="N59" s="136"/>
      <c r="O59" s="3"/>
      <c r="P59" s="3"/>
    </row>
    <row r="60" spans="1:16" s="2" customFormat="1" x14ac:dyDescent="0.3">
      <c r="A60" s="128"/>
      <c r="B60" s="123"/>
      <c r="C60" s="7" t="s">
        <v>61</v>
      </c>
      <c r="D60" s="7"/>
      <c r="E60" s="7"/>
      <c r="F60" s="7"/>
      <c r="G60" s="48"/>
      <c r="H60" s="36">
        <f>+H58+H49+H43</f>
        <v>30802</v>
      </c>
      <c r="I60" s="48"/>
      <c r="J60" s="37">
        <f>+J58+J49+J43</f>
        <v>34095</v>
      </c>
      <c r="K60" s="48"/>
      <c r="L60" s="37">
        <f>+L58+L49+L43</f>
        <v>32518.584999999999</v>
      </c>
      <c r="M60" s="48"/>
      <c r="N60" s="37">
        <f>N43+N49+N58</f>
        <v>97415.584999999992</v>
      </c>
      <c r="O60" s="40">
        <f>L60+J60+H60</f>
        <v>97415.584999999992</v>
      </c>
      <c r="P60" s="57"/>
    </row>
    <row r="61" spans="1:16" s="2" customFormat="1" x14ac:dyDescent="0.3">
      <c r="A61" s="128"/>
      <c r="B61" s="123"/>
      <c r="C61" s="123"/>
      <c r="D61" s="123"/>
      <c r="E61" s="123"/>
      <c r="F61" s="123"/>
      <c r="G61" s="138"/>
      <c r="H61" s="134"/>
      <c r="I61" s="138"/>
      <c r="J61" s="134"/>
      <c r="K61" s="138"/>
      <c r="L61" s="136"/>
      <c r="M61" s="138"/>
      <c r="N61" s="136"/>
      <c r="O61" s="3"/>
      <c r="P61" s="3"/>
    </row>
    <row r="62" spans="1:16" s="2" customFormat="1" x14ac:dyDescent="0.3">
      <c r="A62" s="21" t="s">
        <v>62</v>
      </c>
      <c r="B62" s="146"/>
      <c r="C62" s="22" t="s">
        <v>63</v>
      </c>
      <c r="D62" s="23"/>
      <c r="E62" s="24"/>
      <c r="F62" s="24"/>
      <c r="G62" s="147"/>
      <c r="H62" s="146"/>
      <c r="I62" s="147"/>
      <c r="J62" s="146"/>
      <c r="K62" s="147"/>
      <c r="L62" s="148"/>
      <c r="M62" s="147"/>
      <c r="N62" s="148"/>
      <c r="O62" s="3"/>
      <c r="P62" s="3"/>
    </row>
    <row r="63" spans="1:16" s="2" customFormat="1" x14ac:dyDescent="0.3">
      <c r="A63" s="50"/>
      <c r="B63" s="7"/>
      <c r="C63" s="7"/>
      <c r="D63" s="123"/>
      <c r="E63" s="123"/>
      <c r="F63" s="123"/>
      <c r="G63" s="138"/>
      <c r="H63" s="134"/>
      <c r="I63" s="138"/>
      <c r="J63" s="134"/>
      <c r="K63" s="138"/>
      <c r="L63" s="136"/>
      <c r="M63" s="138"/>
      <c r="N63" s="136"/>
      <c r="O63" s="3"/>
      <c r="P63" s="3"/>
    </row>
    <row r="64" spans="1:16" s="2" customFormat="1" x14ac:dyDescent="0.3">
      <c r="A64" s="25" t="s">
        <v>21</v>
      </c>
      <c r="B64" s="7"/>
      <c r="C64" s="7" t="s">
        <v>64</v>
      </c>
      <c r="D64" s="123"/>
      <c r="E64" s="123"/>
      <c r="F64" s="123"/>
      <c r="G64" s="138"/>
      <c r="H64" s="134"/>
      <c r="I64" s="138"/>
      <c r="J64" s="134"/>
      <c r="K64" s="138"/>
      <c r="L64" s="136"/>
      <c r="M64" s="138"/>
      <c r="N64" s="136"/>
      <c r="O64" s="3"/>
      <c r="P64" s="3"/>
    </row>
    <row r="65" spans="1:18" x14ac:dyDescent="0.3">
      <c r="A65" s="160"/>
      <c r="B65" s="161"/>
      <c r="C65" s="162" t="s">
        <v>65</v>
      </c>
      <c r="D65" s="162"/>
      <c r="E65" s="132">
        <v>1500</v>
      </c>
      <c r="F65" s="163" t="s">
        <v>66</v>
      </c>
      <c r="G65" s="164">
        <f>B20</f>
        <v>1</v>
      </c>
      <c r="H65" s="151">
        <f>E65*G65</f>
        <v>1500</v>
      </c>
      <c r="I65" s="164"/>
      <c r="J65" s="151"/>
      <c r="K65" s="164"/>
      <c r="L65" s="136"/>
      <c r="M65" s="164"/>
      <c r="N65" s="136">
        <f t="shared" ref="N65:N97" si="7">H65+J65+L65</f>
        <v>1500</v>
      </c>
      <c r="O65" s="66"/>
      <c r="P65" s="66"/>
      <c r="Q65"/>
      <c r="R65"/>
    </row>
    <row r="66" spans="1:18" x14ac:dyDescent="0.3">
      <c r="A66" s="160"/>
      <c r="B66" s="161"/>
      <c r="C66" s="162" t="s">
        <v>67</v>
      </c>
      <c r="D66" s="162"/>
      <c r="E66" s="132">
        <v>1500</v>
      </c>
      <c r="F66" s="163" t="s">
        <v>66</v>
      </c>
      <c r="G66" s="164">
        <f>B19</f>
        <v>3</v>
      </c>
      <c r="H66" s="151">
        <f t="shared" ref="H66:H73" si="8">E66*G66</f>
        <v>4500</v>
      </c>
      <c r="I66" s="164"/>
      <c r="J66" s="151"/>
      <c r="K66" s="164"/>
      <c r="L66" s="136"/>
      <c r="M66" s="164"/>
      <c r="N66" s="136">
        <f t="shared" si="7"/>
        <v>4500</v>
      </c>
      <c r="O66" s="66"/>
      <c r="P66" s="66"/>
      <c r="Q66"/>
      <c r="R66"/>
    </row>
    <row r="67" spans="1:18" x14ac:dyDescent="0.3">
      <c r="A67" s="160"/>
      <c r="B67" s="161"/>
      <c r="C67" s="123" t="s">
        <v>68</v>
      </c>
      <c r="D67" s="123"/>
      <c r="E67" s="132">
        <v>350</v>
      </c>
      <c r="F67" s="163" t="s">
        <v>66</v>
      </c>
      <c r="G67" s="164"/>
      <c r="H67" s="151">
        <f t="shared" si="8"/>
        <v>0</v>
      </c>
      <c r="I67" s="164"/>
      <c r="J67" s="151"/>
      <c r="K67" s="164"/>
      <c r="L67" s="136"/>
      <c r="M67" s="164"/>
      <c r="N67" s="136">
        <f t="shared" si="7"/>
        <v>0</v>
      </c>
      <c r="O67" s="66"/>
      <c r="P67" s="66"/>
      <c r="Q67"/>
      <c r="R67"/>
    </row>
    <row r="68" spans="1:18" ht="12" customHeight="1" x14ac:dyDescent="0.3">
      <c r="A68" s="160"/>
      <c r="B68" s="161"/>
      <c r="C68" s="123" t="s">
        <v>69</v>
      </c>
      <c r="D68" s="123"/>
      <c r="E68" s="132">
        <v>300</v>
      </c>
      <c r="F68" s="163" t="s">
        <v>66</v>
      </c>
      <c r="G68" s="164">
        <v>1</v>
      </c>
      <c r="H68" s="151">
        <f t="shared" si="8"/>
        <v>300</v>
      </c>
      <c r="I68" s="164"/>
      <c r="J68" s="151"/>
      <c r="K68" s="164"/>
      <c r="L68" s="136"/>
      <c r="M68" s="164"/>
      <c r="N68" s="136">
        <f t="shared" si="7"/>
        <v>300</v>
      </c>
      <c r="O68" s="66"/>
      <c r="P68" s="66"/>
      <c r="Q68"/>
      <c r="R68"/>
    </row>
    <row r="69" spans="1:18" x14ac:dyDescent="0.3">
      <c r="A69" s="160"/>
      <c r="B69" s="161"/>
      <c r="C69" s="6" t="s">
        <v>70</v>
      </c>
      <c r="D69" s="123"/>
      <c r="E69" s="132">
        <v>1000</v>
      </c>
      <c r="F69" s="163" t="s">
        <v>66</v>
      </c>
      <c r="G69" s="164">
        <v>1</v>
      </c>
      <c r="H69" s="151">
        <f t="shared" si="8"/>
        <v>1000</v>
      </c>
      <c r="I69" s="164"/>
      <c r="J69" s="151"/>
      <c r="K69" s="164"/>
      <c r="L69" s="136"/>
      <c r="M69" s="164"/>
      <c r="N69" s="136">
        <f t="shared" si="7"/>
        <v>1000</v>
      </c>
      <c r="O69" s="66"/>
      <c r="P69" s="66"/>
      <c r="Q69"/>
      <c r="R69"/>
    </row>
    <row r="70" spans="1:18" x14ac:dyDescent="0.3">
      <c r="A70" s="160"/>
      <c r="B70" s="161"/>
      <c r="C70" s="123" t="s">
        <v>71</v>
      </c>
      <c r="D70" s="123"/>
      <c r="E70" s="132">
        <v>125</v>
      </c>
      <c r="F70" s="163" t="s">
        <v>66</v>
      </c>
      <c r="G70" s="164">
        <f>SUM(B18:B20)</f>
        <v>5</v>
      </c>
      <c r="H70" s="151">
        <f t="shared" si="8"/>
        <v>625</v>
      </c>
      <c r="I70" s="164"/>
      <c r="J70" s="151"/>
      <c r="K70" s="164"/>
      <c r="L70" s="136"/>
      <c r="M70" s="164"/>
      <c r="N70" s="136">
        <f t="shared" si="7"/>
        <v>625</v>
      </c>
      <c r="O70" s="66"/>
      <c r="P70" s="66"/>
      <c r="Q70"/>
      <c r="R70"/>
    </row>
    <row r="71" spans="1:18" x14ac:dyDescent="0.3">
      <c r="A71" s="160"/>
      <c r="B71" s="161"/>
      <c r="C71" s="123" t="s">
        <v>72</v>
      </c>
      <c r="D71" s="123"/>
      <c r="E71" s="132">
        <v>1500</v>
      </c>
      <c r="F71" s="163" t="s">
        <v>66</v>
      </c>
      <c r="G71" s="164">
        <v>1</v>
      </c>
      <c r="H71" s="151">
        <f t="shared" si="8"/>
        <v>1500</v>
      </c>
      <c r="I71" s="164"/>
      <c r="J71" s="151"/>
      <c r="K71" s="164"/>
      <c r="L71" s="136"/>
      <c r="M71" s="164"/>
      <c r="N71" s="136">
        <f t="shared" si="7"/>
        <v>1500</v>
      </c>
      <c r="O71" s="66"/>
      <c r="P71" s="66"/>
      <c r="Q71"/>
      <c r="R71"/>
    </row>
    <row r="72" spans="1:18" x14ac:dyDescent="0.3">
      <c r="A72" s="160"/>
      <c r="B72" s="161"/>
      <c r="C72" s="123" t="s">
        <v>73</v>
      </c>
      <c r="D72" s="123"/>
      <c r="E72" s="132">
        <v>500</v>
      </c>
      <c r="F72" s="163" t="s">
        <v>66</v>
      </c>
      <c r="G72" s="164">
        <v>1</v>
      </c>
      <c r="H72" s="151">
        <f t="shared" si="8"/>
        <v>500</v>
      </c>
      <c r="I72" s="164"/>
      <c r="J72" s="151"/>
      <c r="K72" s="164"/>
      <c r="L72" s="136"/>
      <c r="M72" s="164"/>
      <c r="N72" s="136">
        <f t="shared" si="7"/>
        <v>500</v>
      </c>
      <c r="O72" s="66"/>
      <c r="P72" s="66"/>
      <c r="Q72"/>
      <c r="R72"/>
    </row>
    <row r="73" spans="1:18" s="2" customFormat="1" x14ac:dyDescent="0.3">
      <c r="A73" s="128"/>
      <c r="B73" s="155"/>
      <c r="C73" s="6" t="s">
        <v>119</v>
      </c>
      <c r="D73" s="123"/>
      <c r="E73" s="132">
        <v>15000</v>
      </c>
      <c r="F73" s="64" t="s">
        <v>66</v>
      </c>
      <c r="G73" s="138">
        <v>1</v>
      </c>
      <c r="H73" s="151">
        <f t="shared" si="8"/>
        <v>15000</v>
      </c>
      <c r="I73" s="138">
        <v>1</v>
      </c>
      <c r="J73" s="38">
        <f>E73*I73*$I$11</f>
        <v>15450</v>
      </c>
      <c r="K73" s="67">
        <v>1</v>
      </c>
      <c r="L73" s="63">
        <f>E73*K73*$K$11</f>
        <v>15913.5</v>
      </c>
      <c r="M73" s="138"/>
      <c r="N73" s="63">
        <f>H73+J73+L73</f>
        <v>46363.5</v>
      </c>
      <c r="O73" s="3"/>
      <c r="P73" s="3"/>
    </row>
    <row r="74" spans="1:18" x14ac:dyDescent="0.3">
      <c r="A74" s="160"/>
      <c r="B74" s="162"/>
      <c r="C74" s="123" t="s">
        <v>102</v>
      </c>
      <c r="D74" s="123"/>
      <c r="E74" s="132"/>
      <c r="F74" s="163"/>
      <c r="G74" s="164">
        <v>1</v>
      </c>
      <c r="H74" s="151">
        <v>1000</v>
      </c>
      <c r="I74" s="164"/>
      <c r="J74" s="151"/>
      <c r="K74" s="164"/>
      <c r="L74" s="136"/>
      <c r="M74" s="164"/>
      <c r="N74" s="136">
        <f t="shared" si="7"/>
        <v>1000</v>
      </c>
      <c r="O74" s="66"/>
      <c r="P74" s="66"/>
      <c r="Q74"/>
      <c r="R74"/>
    </row>
    <row r="75" spans="1:18" x14ac:dyDescent="0.3">
      <c r="A75" s="160"/>
      <c r="B75" s="162"/>
      <c r="C75" s="6" t="s">
        <v>74</v>
      </c>
      <c r="D75" s="162"/>
      <c r="E75" s="132"/>
      <c r="F75" s="163"/>
      <c r="G75" s="164">
        <v>1</v>
      </c>
      <c r="H75" s="151">
        <v>5000</v>
      </c>
      <c r="I75" s="164"/>
      <c r="J75" s="151"/>
      <c r="K75" s="164"/>
      <c r="L75" s="136"/>
      <c r="M75" s="164"/>
      <c r="N75" s="136">
        <f t="shared" si="7"/>
        <v>5000</v>
      </c>
      <c r="O75" s="66"/>
      <c r="P75" s="66"/>
      <c r="Q75"/>
      <c r="R75"/>
    </row>
    <row r="76" spans="1:18" x14ac:dyDescent="0.3">
      <c r="A76" s="160"/>
      <c r="B76" s="162"/>
      <c r="C76" s="123"/>
      <c r="D76" s="123"/>
      <c r="E76" s="150"/>
      <c r="F76" s="150"/>
      <c r="G76" s="165"/>
      <c r="H76" s="166"/>
      <c r="I76" s="165"/>
      <c r="J76" s="166"/>
      <c r="K76" s="165"/>
      <c r="L76" s="167"/>
      <c r="M76" s="168"/>
      <c r="N76" s="136"/>
      <c r="O76" s="66"/>
      <c r="P76" s="66"/>
      <c r="Q76"/>
      <c r="R76"/>
    </row>
    <row r="77" spans="1:18" s="2" customFormat="1" x14ac:dyDescent="0.3">
      <c r="A77" s="128"/>
      <c r="B77" s="123"/>
      <c r="C77" s="7" t="s">
        <v>75</v>
      </c>
      <c r="D77" s="7"/>
      <c r="E77" s="68"/>
      <c r="F77" s="7"/>
      <c r="G77" s="48"/>
      <c r="H77" s="36">
        <f>SUM(H65:H76)</f>
        <v>30925</v>
      </c>
      <c r="I77" s="48"/>
      <c r="J77" s="36"/>
      <c r="K77" s="48"/>
      <c r="L77" s="37"/>
      <c r="M77" s="48"/>
      <c r="N77" s="37">
        <f>SUM(N65:N76)</f>
        <v>62288.5</v>
      </c>
      <c r="O77" s="40">
        <f>L77+J77+H77</f>
        <v>30925</v>
      </c>
      <c r="P77" s="57"/>
    </row>
    <row r="78" spans="1:18" x14ac:dyDescent="0.3">
      <c r="A78" s="160"/>
      <c r="B78" s="162"/>
      <c r="C78" s="162"/>
      <c r="D78" s="162"/>
      <c r="E78" s="162"/>
      <c r="F78" s="162"/>
      <c r="G78" s="164"/>
      <c r="H78" s="151"/>
      <c r="I78" s="164"/>
      <c r="J78" s="151"/>
      <c r="K78" s="164"/>
      <c r="L78" s="152"/>
      <c r="M78" s="164"/>
      <c r="N78" s="136"/>
      <c r="O78" s="66"/>
      <c r="P78" s="66"/>
      <c r="Q78"/>
      <c r="R78"/>
    </row>
    <row r="79" spans="1:18" x14ac:dyDescent="0.3">
      <c r="A79" s="160"/>
      <c r="B79" s="162"/>
      <c r="C79" s="162"/>
      <c r="D79" s="162"/>
      <c r="E79" s="162"/>
      <c r="F79" s="162"/>
      <c r="G79" s="164"/>
      <c r="H79" s="151"/>
      <c r="I79" s="164"/>
      <c r="J79" s="151"/>
      <c r="K79" s="164"/>
      <c r="L79" s="152"/>
      <c r="M79" s="164"/>
      <c r="N79" s="136"/>
      <c r="O79" s="66"/>
      <c r="P79" s="66"/>
      <c r="Q79"/>
      <c r="R79"/>
    </row>
    <row r="80" spans="1:18" x14ac:dyDescent="0.3">
      <c r="A80" s="25" t="s">
        <v>50</v>
      </c>
      <c r="B80" s="7"/>
      <c r="C80" s="7" t="s">
        <v>76</v>
      </c>
      <c r="D80" s="162"/>
      <c r="E80" s="162"/>
      <c r="F80" s="162"/>
      <c r="G80" s="164"/>
      <c r="H80" s="151"/>
      <c r="I80" s="164"/>
      <c r="J80" s="151"/>
      <c r="K80" s="164"/>
      <c r="L80" s="152"/>
      <c r="M80" s="164"/>
      <c r="N80" s="136"/>
      <c r="O80" s="66"/>
      <c r="P80" s="66"/>
      <c r="Q80"/>
      <c r="R80"/>
    </row>
    <row r="81" spans="1:18" x14ac:dyDescent="0.3">
      <c r="A81" s="160"/>
      <c r="B81" s="70" t="s">
        <v>23</v>
      </c>
      <c r="C81" s="71" t="s">
        <v>77</v>
      </c>
      <c r="D81" s="162"/>
      <c r="E81" s="132"/>
      <c r="F81" s="169"/>
      <c r="G81" s="164"/>
      <c r="H81" s="151"/>
      <c r="I81" s="164"/>
      <c r="J81" s="151"/>
      <c r="K81" s="164"/>
      <c r="L81" s="152"/>
      <c r="M81" s="164"/>
      <c r="N81" s="136"/>
      <c r="Q81"/>
      <c r="R81"/>
    </row>
    <row r="82" spans="1:18" x14ac:dyDescent="0.3">
      <c r="A82" s="160"/>
      <c r="B82" s="162"/>
      <c r="C82" s="123" t="s">
        <v>78</v>
      </c>
      <c r="D82" s="123"/>
      <c r="E82" s="132">
        <v>50</v>
      </c>
      <c r="F82" s="169" t="s">
        <v>45</v>
      </c>
      <c r="G82" s="164">
        <v>12</v>
      </c>
      <c r="H82" s="151">
        <f>E82*G82</f>
        <v>600</v>
      </c>
      <c r="I82" s="164">
        <v>12</v>
      </c>
      <c r="J82" s="152">
        <f>E82*I82*$I$11</f>
        <v>618</v>
      </c>
      <c r="K82" s="151">
        <v>12</v>
      </c>
      <c r="L82" s="152">
        <f>E82*K82*$K$11</f>
        <v>636.54</v>
      </c>
      <c r="M82" s="138"/>
      <c r="N82" s="136">
        <f t="shared" si="7"/>
        <v>1854.54</v>
      </c>
      <c r="Q82"/>
      <c r="R82"/>
    </row>
    <row r="83" spans="1:18" x14ac:dyDescent="0.3">
      <c r="A83" s="160"/>
      <c r="B83" s="162"/>
      <c r="C83" s="123" t="s">
        <v>79</v>
      </c>
      <c r="D83" s="123"/>
      <c r="E83" s="132">
        <v>50</v>
      </c>
      <c r="F83" s="169" t="s">
        <v>45</v>
      </c>
      <c r="G83" s="164">
        <v>12</v>
      </c>
      <c r="H83" s="151">
        <f>E83*G83</f>
        <v>600</v>
      </c>
      <c r="I83" s="164">
        <v>12</v>
      </c>
      <c r="J83" s="152">
        <f>E83*I83*$I$11</f>
        <v>618</v>
      </c>
      <c r="K83" s="151">
        <v>12</v>
      </c>
      <c r="L83" s="152">
        <f>E83*K83*$K$11</f>
        <v>636.54</v>
      </c>
      <c r="M83" s="138"/>
      <c r="N83" s="136">
        <f t="shared" si="7"/>
        <v>1854.54</v>
      </c>
      <c r="Q83"/>
      <c r="R83"/>
    </row>
    <row r="84" spans="1:18" x14ac:dyDescent="0.3">
      <c r="A84" s="160"/>
      <c r="B84" s="162"/>
      <c r="C84" s="123" t="s">
        <v>80</v>
      </c>
      <c r="D84" s="123"/>
      <c r="E84" s="132">
        <v>15</v>
      </c>
      <c r="F84" s="169" t="s">
        <v>45</v>
      </c>
      <c r="G84" s="164">
        <v>12</v>
      </c>
      <c r="H84" s="151">
        <f>E84*G84</f>
        <v>180</v>
      </c>
      <c r="I84" s="164">
        <v>12</v>
      </c>
      <c r="J84" s="152">
        <f>E84*I84*$I$11</f>
        <v>185.4</v>
      </c>
      <c r="K84" s="151">
        <v>12</v>
      </c>
      <c r="L84" s="152">
        <f>E84*K84*$K$11</f>
        <v>190.96199999999999</v>
      </c>
      <c r="M84" s="138"/>
      <c r="N84" s="136">
        <f t="shared" si="7"/>
        <v>556.36199999999997</v>
      </c>
      <c r="Q84"/>
      <c r="R84"/>
    </row>
    <row r="85" spans="1:18" x14ac:dyDescent="0.3">
      <c r="A85" s="128"/>
      <c r="B85" s="123"/>
      <c r="C85" s="6" t="s">
        <v>81</v>
      </c>
      <c r="D85" s="123"/>
      <c r="E85" s="132">
        <v>75</v>
      </c>
      <c r="F85" s="169" t="s">
        <v>45</v>
      </c>
      <c r="G85" s="164">
        <v>12</v>
      </c>
      <c r="H85" s="151">
        <f>E85*G85</f>
        <v>900</v>
      </c>
      <c r="I85" s="164">
        <v>12</v>
      </c>
      <c r="J85" s="152">
        <f>E85*I85*$I$11</f>
        <v>927</v>
      </c>
      <c r="K85" s="164">
        <v>12</v>
      </c>
      <c r="L85" s="152">
        <f>E85*K85*$K$11</f>
        <v>954.81</v>
      </c>
      <c r="M85" s="138"/>
      <c r="N85" s="136">
        <f t="shared" si="7"/>
        <v>2781.81</v>
      </c>
      <c r="Q85"/>
      <c r="R85"/>
    </row>
    <row r="86" spans="1:18" x14ac:dyDescent="0.3">
      <c r="A86" s="160"/>
      <c r="B86" s="162"/>
      <c r="C86" s="123"/>
      <c r="D86" s="123"/>
      <c r="E86" s="150"/>
      <c r="F86" s="150"/>
      <c r="G86" s="164"/>
      <c r="H86" s="151"/>
      <c r="I86" s="164"/>
      <c r="J86" s="151"/>
      <c r="K86" s="164"/>
      <c r="L86" s="152"/>
      <c r="M86" s="164"/>
      <c r="N86" s="136"/>
      <c r="Q86"/>
      <c r="R86"/>
    </row>
    <row r="87" spans="1:18" x14ac:dyDescent="0.3">
      <c r="A87" s="128"/>
      <c r="B87" s="27" t="s">
        <v>82</v>
      </c>
      <c r="C87" s="28" t="s">
        <v>120</v>
      </c>
      <c r="D87" s="123"/>
      <c r="E87" s="123"/>
      <c r="F87" s="123"/>
      <c r="G87" s="138"/>
      <c r="H87" s="134"/>
      <c r="I87" s="138"/>
      <c r="J87" s="134"/>
      <c r="K87" s="138"/>
      <c r="L87" s="136"/>
      <c r="M87" s="164"/>
      <c r="N87" s="136"/>
      <c r="Q87"/>
      <c r="R87"/>
    </row>
    <row r="88" spans="1:18" x14ac:dyDescent="0.3">
      <c r="A88" s="128"/>
      <c r="B88" s="125"/>
      <c r="C88" s="6" t="s">
        <v>83</v>
      </c>
      <c r="D88" s="123"/>
      <c r="E88" s="132">
        <v>220</v>
      </c>
      <c r="F88" s="69" t="s">
        <v>45</v>
      </c>
      <c r="G88" s="138">
        <v>12</v>
      </c>
      <c r="H88" s="151">
        <f>E88*G88</f>
        <v>2640</v>
      </c>
      <c r="I88" s="138">
        <v>12</v>
      </c>
      <c r="J88" s="151">
        <f>E88*I88*$I$11</f>
        <v>2719.2000000000003</v>
      </c>
      <c r="K88" s="138">
        <v>12</v>
      </c>
      <c r="L88" s="152">
        <f t="shared" ref="L88:L97" si="9">E88*K88*$K$11</f>
        <v>2800.7759999999998</v>
      </c>
      <c r="M88" s="138"/>
      <c r="N88" s="136">
        <f t="shared" si="7"/>
        <v>8159.9760000000006</v>
      </c>
      <c r="Q88"/>
      <c r="R88"/>
    </row>
    <row r="89" spans="1:18" x14ac:dyDescent="0.3">
      <c r="A89" s="128"/>
      <c r="B89" s="125"/>
      <c r="C89" s="6" t="s">
        <v>84</v>
      </c>
      <c r="D89" s="123"/>
      <c r="E89" s="121">
        <v>100</v>
      </c>
      <c r="F89" s="69" t="s">
        <v>45</v>
      </c>
      <c r="G89" s="138">
        <v>12</v>
      </c>
      <c r="H89" s="151">
        <f>E89*G89</f>
        <v>1200</v>
      </c>
      <c r="I89" s="138">
        <v>12</v>
      </c>
      <c r="J89" s="151">
        <f>E89*I89*$I$11</f>
        <v>1236</v>
      </c>
      <c r="K89" s="138">
        <v>12</v>
      </c>
      <c r="L89" s="152">
        <f>E89*K89*$K$11</f>
        <v>1273.08</v>
      </c>
      <c r="M89" s="138"/>
      <c r="N89" s="136">
        <f>H89+J89+L89</f>
        <v>3709.08</v>
      </c>
      <c r="Q89"/>
      <c r="R89"/>
    </row>
    <row r="90" spans="1:18" x14ac:dyDescent="0.3">
      <c r="A90" s="128"/>
      <c r="B90" s="125"/>
      <c r="C90" s="6" t="s">
        <v>114</v>
      </c>
      <c r="D90" s="123"/>
      <c r="E90" s="132">
        <v>1500</v>
      </c>
      <c r="F90" s="169" t="s">
        <v>45</v>
      </c>
      <c r="G90" s="138">
        <v>10</v>
      </c>
      <c r="H90" s="151">
        <f>E90*G90</f>
        <v>15000</v>
      </c>
      <c r="I90" s="138">
        <v>12</v>
      </c>
      <c r="J90" s="151">
        <f>E90*I90*$I$11</f>
        <v>18540</v>
      </c>
      <c r="K90" s="138">
        <v>12</v>
      </c>
      <c r="L90" s="152">
        <f t="shared" si="9"/>
        <v>19096.2</v>
      </c>
      <c r="M90" s="138"/>
      <c r="N90" s="136">
        <f t="shared" si="7"/>
        <v>52636.2</v>
      </c>
      <c r="Q90"/>
      <c r="R90"/>
    </row>
    <row r="91" spans="1:18" x14ac:dyDescent="0.3">
      <c r="A91" s="128"/>
      <c r="B91" s="125"/>
      <c r="C91" s="123" t="s">
        <v>85</v>
      </c>
      <c r="D91" s="123"/>
      <c r="E91" s="132">
        <v>250</v>
      </c>
      <c r="F91" s="169" t="s">
        <v>45</v>
      </c>
      <c r="G91" s="138">
        <v>10</v>
      </c>
      <c r="H91" s="151">
        <f t="shared" ref="H91:H97" si="10">E91*G91</f>
        <v>2500</v>
      </c>
      <c r="I91" s="138">
        <v>12</v>
      </c>
      <c r="J91" s="151">
        <f t="shared" ref="J91:J97" si="11">E91*I91*$I$11</f>
        <v>3090</v>
      </c>
      <c r="K91" s="138">
        <v>12</v>
      </c>
      <c r="L91" s="152">
        <f t="shared" si="9"/>
        <v>3182.7</v>
      </c>
      <c r="M91" s="138"/>
      <c r="N91" s="136">
        <f t="shared" si="7"/>
        <v>8772.7000000000007</v>
      </c>
      <c r="Q91"/>
      <c r="R91"/>
    </row>
    <row r="92" spans="1:18" x14ac:dyDescent="0.3">
      <c r="A92" s="128"/>
      <c r="B92" s="125"/>
      <c r="C92" s="123" t="s">
        <v>86</v>
      </c>
      <c r="D92" s="123"/>
      <c r="E92" s="132">
        <v>250</v>
      </c>
      <c r="F92" s="169" t="s">
        <v>45</v>
      </c>
      <c r="G92" s="138">
        <v>10</v>
      </c>
      <c r="H92" s="151">
        <f t="shared" si="10"/>
        <v>2500</v>
      </c>
      <c r="I92" s="138">
        <v>12</v>
      </c>
      <c r="J92" s="151">
        <f t="shared" si="11"/>
        <v>3090</v>
      </c>
      <c r="K92" s="138">
        <v>12</v>
      </c>
      <c r="L92" s="152">
        <f t="shared" si="9"/>
        <v>3182.7</v>
      </c>
      <c r="M92" s="138"/>
      <c r="N92" s="136">
        <f t="shared" si="7"/>
        <v>8772.7000000000007</v>
      </c>
      <c r="O92" s="66"/>
      <c r="P92" s="66"/>
      <c r="Q92"/>
      <c r="R92"/>
    </row>
    <row r="93" spans="1:18" x14ac:dyDescent="0.3">
      <c r="A93" s="128"/>
      <c r="B93" s="125"/>
      <c r="C93" s="123" t="s">
        <v>87</v>
      </c>
      <c r="D93" s="123"/>
      <c r="E93" s="132">
        <v>500</v>
      </c>
      <c r="F93" s="169" t="s">
        <v>45</v>
      </c>
      <c r="G93" s="138">
        <v>12</v>
      </c>
      <c r="H93" s="151">
        <f t="shared" si="10"/>
        <v>6000</v>
      </c>
      <c r="I93" s="138">
        <v>12</v>
      </c>
      <c r="J93" s="151">
        <f t="shared" si="11"/>
        <v>6180</v>
      </c>
      <c r="K93" s="138">
        <v>12</v>
      </c>
      <c r="L93" s="152">
        <f t="shared" si="9"/>
        <v>6365.4</v>
      </c>
      <c r="M93" s="138"/>
      <c r="N93" s="136">
        <f t="shared" si="7"/>
        <v>18545.400000000001</v>
      </c>
      <c r="O93" s="66"/>
      <c r="P93" s="66"/>
      <c r="Q93"/>
      <c r="R93"/>
    </row>
    <row r="94" spans="1:18" x14ac:dyDescent="0.3">
      <c r="A94" s="128"/>
      <c r="B94" s="125"/>
      <c r="C94" s="123" t="s">
        <v>88</v>
      </c>
      <c r="D94" s="123"/>
      <c r="E94" s="132">
        <v>200</v>
      </c>
      <c r="F94" s="169" t="s">
        <v>45</v>
      </c>
      <c r="G94" s="138">
        <v>12</v>
      </c>
      <c r="H94" s="151">
        <f t="shared" si="10"/>
        <v>2400</v>
      </c>
      <c r="I94" s="138">
        <v>12</v>
      </c>
      <c r="J94" s="151">
        <f t="shared" si="11"/>
        <v>2472</v>
      </c>
      <c r="K94" s="138">
        <v>12</v>
      </c>
      <c r="L94" s="152">
        <f t="shared" si="9"/>
        <v>2546.16</v>
      </c>
      <c r="M94" s="138"/>
      <c r="N94" s="136">
        <f t="shared" si="7"/>
        <v>7418.16</v>
      </c>
      <c r="O94" s="66"/>
      <c r="P94" s="66"/>
      <c r="Q94"/>
      <c r="R94"/>
    </row>
    <row r="95" spans="1:18" x14ac:dyDescent="0.3">
      <c r="A95" s="128"/>
      <c r="B95" s="125"/>
      <c r="C95" s="123" t="s">
        <v>89</v>
      </c>
      <c r="D95" s="123"/>
      <c r="E95" s="132">
        <v>100</v>
      </c>
      <c r="F95" s="169" t="s">
        <v>45</v>
      </c>
      <c r="G95" s="138">
        <v>12</v>
      </c>
      <c r="H95" s="151">
        <f t="shared" si="10"/>
        <v>1200</v>
      </c>
      <c r="I95" s="138">
        <v>12</v>
      </c>
      <c r="J95" s="151">
        <f t="shared" si="11"/>
        <v>1236</v>
      </c>
      <c r="K95" s="138">
        <v>12</v>
      </c>
      <c r="L95" s="152">
        <f t="shared" si="9"/>
        <v>1273.08</v>
      </c>
      <c r="M95" s="138"/>
      <c r="N95" s="136">
        <f t="shared" si="7"/>
        <v>3709.08</v>
      </c>
      <c r="O95" s="66"/>
      <c r="P95" s="66"/>
      <c r="Q95"/>
      <c r="R95"/>
    </row>
    <row r="96" spans="1:18" x14ac:dyDescent="0.3">
      <c r="A96" s="128"/>
      <c r="B96" s="125"/>
      <c r="C96" s="123" t="s">
        <v>80</v>
      </c>
      <c r="D96" s="123"/>
      <c r="E96" s="132">
        <v>100</v>
      </c>
      <c r="F96" s="169" t="s">
        <v>45</v>
      </c>
      <c r="G96" s="138">
        <v>12</v>
      </c>
      <c r="H96" s="151">
        <f t="shared" si="10"/>
        <v>1200</v>
      </c>
      <c r="I96" s="138">
        <v>12</v>
      </c>
      <c r="J96" s="151">
        <f t="shared" si="11"/>
        <v>1236</v>
      </c>
      <c r="K96" s="138">
        <v>12</v>
      </c>
      <c r="L96" s="152">
        <f t="shared" si="9"/>
        <v>1273.08</v>
      </c>
      <c r="M96" s="138"/>
      <c r="N96" s="136">
        <f t="shared" si="7"/>
        <v>3709.08</v>
      </c>
      <c r="O96" s="66"/>
      <c r="P96" s="66"/>
      <c r="Q96"/>
      <c r="R96"/>
    </row>
    <row r="97" spans="1:19" x14ac:dyDescent="0.3">
      <c r="A97" s="128"/>
      <c r="B97" s="125"/>
      <c r="C97" s="123" t="s">
        <v>90</v>
      </c>
      <c r="D97" s="123"/>
      <c r="E97" s="132">
        <v>200</v>
      </c>
      <c r="F97" s="169" t="s">
        <v>45</v>
      </c>
      <c r="G97" s="138">
        <v>10</v>
      </c>
      <c r="H97" s="151">
        <f t="shared" si="10"/>
        <v>2000</v>
      </c>
      <c r="I97" s="138">
        <v>12</v>
      </c>
      <c r="J97" s="151">
        <f t="shared" si="11"/>
        <v>2472</v>
      </c>
      <c r="K97" s="138">
        <v>12</v>
      </c>
      <c r="L97" s="152">
        <f t="shared" si="9"/>
        <v>2546.16</v>
      </c>
      <c r="M97" s="138"/>
      <c r="N97" s="136">
        <f t="shared" si="7"/>
        <v>7018.16</v>
      </c>
      <c r="O97" s="66"/>
      <c r="P97" s="66"/>
      <c r="Q97"/>
      <c r="R97"/>
    </row>
    <row r="98" spans="1:19" x14ac:dyDescent="0.3">
      <c r="A98" s="160"/>
      <c r="B98" s="170"/>
      <c r="C98" s="162"/>
      <c r="D98" s="162"/>
      <c r="E98" s="171"/>
      <c r="F98" s="72"/>
      <c r="G98" s="165"/>
      <c r="H98" s="166"/>
      <c r="I98" s="165"/>
      <c r="J98" s="166"/>
      <c r="K98" s="165"/>
      <c r="L98" s="167"/>
      <c r="M98" s="168"/>
      <c r="N98" s="136"/>
      <c r="O98" s="66"/>
      <c r="P98" s="66"/>
      <c r="Q98"/>
      <c r="R98"/>
    </row>
    <row r="99" spans="1:19" s="2" customFormat="1" x14ac:dyDescent="0.3">
      <c r="A99" s="128"/>
      <c r="B99" s="123"/>
      <c r="C99" s="7" t="s">
        <v>91</v>
      </c>
      <c r="D99" s="7"/>
      <c r="E99" s="7"/>
      <c r="F99" s="7"/>
      <c r="G99" s="48"/>
      <c r="H99" s="36">
        <f>ROUND(SUM(H81:H97),0)</f>
        <v>38920</v>
      </c>
      <c r="I99" s="48"/>
      <c r="J99" s="36">
        <f>ROUND(SUM(J81:J97),0)</f>
        <v>44620</v>
      </c>
      <c r="K99" s="48"/>
      <c r="L99" s="36">
        <f>ROUND(SUM(L81:L97),0)</f>
        <v>45958</v>
      </c>
      <c r="M99" s="48"/>
      <c r="N99" s="37">
        <f>SUM(N82:N98)</f>
        <v>129497.788</v>
      </c>
      <c r="O99" s="40">
        <f>L99+J99+H99</f>
        <v>129498</v>
      </c>
      <c r="P99" s="57"/>
    </row>
    <row r="100" spans="1:19" s="2" customFormat="1" x14ac:dyDescent="0.3">
      <c r="A100" s="128"/>
      <c r="B100" s="123"/>
      <c r="C100" s="7"/>
      <c r="D100" s="7"/>
      <c r="E100" s="7"/>
      <c r="F100" s="7"/>
      <c r="G100" s="48"/>
      <c r="H100" s="36"/>
      <c r="I100" s="48"/>
      <c r="J100" s="36"/>
      <c r="K100" s="48"/>
      <c r="L100" s="36"/>
      <c r="M100" s="48"/>
      <c r="N100" s="136"/>
      <c r="O100" s="57"/>
      <c r="P100" s="57"/>
    </row>
    <row r="101" spans="1:19" s="2" customFormat="1" x14ac:dyDescent="0.3">
      <c r="A101" s="128"/>
      <c r="B101" s="123"/>
      <c r="C101" s="7" t="s">
        <v>92</v>
      </c>
      <c r="D101" s="7"/>
      <c r="E101" s="7"/>
      <c r="F101" s="7"/>
      <c r="G101" s="48"/>
      <c r="H101" s="73">
        <f>H77+H99</f>
        <v>69845</v>
      </c>
      <c r="I101" s="73"/>
      <c r="J101" s="73">
        <f t="shared" ref="J101:N101" si="12">J77+J99</f>
        <v>44620</v>
      </c>
      <c r="K101" s="73"/>
      <c r="L101" s="73">
        <f t="shared" si="12"/>
        <v>45958</v>
      </c>
      <c r="M101" s="73"/>
      <c r="N101" s="73">
        <f t="shared" si="12"/>
        <v>191786.288</v>
      </c>
      <c r="O101" s="40">
        <f>L101+J101+H101</f>
        <v>160423</v>
      </c>
      <c r="P101" s="57"/>
    </row>
    <row r="102" spans="1:19" s="2" customFormat="1" x14ac:dyDescent="0.3">
      <c r="A102" s="128"/>
      <c r="B102" s="123"/>
      <c r="C102" s="7"/>
      <c r="D102" s="7"/>
      <c r="E102" s="7"/>
      <c r="F102" s="7"/>
      <c r="G102" s="48"/>
      <c r="H102" s="73"/>
      <c r="I102" s="48"/>
      <c r="J102" s="73"/>
      <c r="K102" s="48"/>
      <c r="L102" s="73"/>
      <c r="M102" s="48"/>
      <c r="N102" s="74"/>
      <c r="O102" s="40"/>
      <c r="P102" s="57"/>
    </row>
    <row r="103" spans="1:19" s="2" customFormat="1" x14ac:dyDescent="0.3">
      <c r="A103" s="75" t="s">
        <v>93</v>
      </c>
      <c r="B103" s="146"/>
      <c r="C103" s="22" t="s">
        <v>112</v>
      </c>
      <c r="D103" s="23"/>
      <c r="E103" s="76"/>
      <c r="F103" s="24"/>
      <c r="G103" s="99"/>
      <c r="H103" s="77">
        <v>100000</v>
      </c>
      <c r="I103" s="99"/>
      <c r="J103" s="77">
        <v>100000</v>
      </c>
      <c r="K103" s="99"/>
      <c r="L103" s="77">
        <v>100000</v>
      </c>
      <c r="M103" s="99"/>
      <c r="N103" s="172">
        <f>+H103+J103+L103</f>
        <v>300000</v>
      </c>
      <c r="O103" s="79"/>
      <c r="P103" s="57"/>
      <c r="Q103" s="57"/>
      <c r="R103" s="57"/>
    </row>
    <row r="104" spans="1:19" s="2" customFormat="1" x14ac:dyDescent="0.3">
      <c r="A104" s="128"/>
      <c r="B104" s="123"/>
      <c r="C104" s="7"/>
      <c r="D104" s="7"/>
      <c r="E104" s="7"/>
      <c r="F104" s="7"/>
      <c r="G104" s="48"/>
      <c r="H104" s="36"/>
      <c r="I104" s="48"/>
      <c r="J104" s="36"/>
      <c r="K104" s="48"/>
      <c r="L104" s="36"/>
      <c r="M104" s="48"/>
      <c r="N104" s="136"/>
      <c r="O104" s="57"/>
      <c r="P104" s="57"/>
    </row>
    <row r="105" spans="1:19" s="2" customFormat="1" x14ac:dyDescent="0.3">
      <c r="A105" s="75">
        <v>5</v>
      </c>
      <c r="B105" s="146"/>
      <c r="C105" s="22" t="s">
        <v>110</v>
      </c>
      <c r="D105" s="23"/>
      <c r="E105" s="76"/>
      <c r="F105" s="24"/>
      <c r="G105" s="99"/>
      <c r="H105" s="77"/>
      <c r="I105" s="99"/>
      <c r="J105" s="77"/>
      <c r="K105" s="99"/>
      <c r="L105" s="77"/>
      <c r="M105" s="99"/>
      <c r="N105" s="172">
        <f>+H105+J105+L105</f>
        <v>0</v>
      </c>
      <c r="O105" s="79"/>
      <c r="P105" s="57"/>
      <c r="Q105" s="57"/>
      <c r="R105" s="57"/>
    </row>
    <row r="106" spans="1:19" s="2" customFormat="1" x14ac:dyDescent="0.3">
      <c r="A106" s="128"/>
      <c r="B106" s="123"/>
      <c r="C106" s="7"/>
      <c r="D106" s="7"/>
      <c r="E106" s="7"/>
      <c r="F106" s="7"/>
      <c r="G106" s="48"/>
      <c r="H106" s="36"/>
      <c r="I106" s="48"/>
      <c r="J106" s="36"/>
      <c r="K106" s="48"/>
      <c r="L106" s="36"/>
      <c r="M106" s="48"/>
      <c r="N106" s="136"/>
      <c r="O106" s="57"/>
      <c r="P106" s="57"/>
    </row>
    <row r="107" spans="1:19" s="2" customFormat="1" x14ac:dyDescent="0.3">
      <c r="A107" s="81">
        <v>6</v>
      </c>
      <c r="B107" s="146"/>
      <c r="C107" s="22" t="s">
        <v>99</v>
      </c>
      <c r="D107" s="23"/>
      <c r="E107" s="76">
        <v>0.25</v>
      </c>
      <c r="F107" s="24"/>
      <c r="G107" s="99">
        <f>+H101+H60+H36+H103+H105</f>
        <v>399347</v>
      </c>
      <c r="H107" s="77">
        <f>ROUND(+G107*$E$107,0)</f>
        <v>99837</v>
      </c>
      <c r="I107" s="99">
        <f>+J101+J60+J36+J103+J105</f>
        <v>396611</v>
      </c>
      <c r="J107" s="77">
        <f>ROUND(+I107*$E$107,0)</f>
        <v>99153</v>
      </c>
      <c r="K107" s="99">
        <f>+L101+L60+L36+L103+L105</f>
        <v>404911.58499999996</v>
      </c>
      <c r="L107" s="78">
        <f>ROUND(+K107*$E$107,0)</f>
        <v>101228</v>
      </c>
      <c r="M107" s="99">
        <f>+N101+N60+N36+N103+N105</f>
        <v>1232232.8730000001</v>
      </c>
      <c r="N107" s="172">
        <f>H107+J107+L107</f>
        <v>300218</v>
      </c>
      <c r="O107" s="79">
        <f>M107*E107</f>
        <v>308058.21825000003</v>
      </c>
      <c r="P107" s="57">
        <f>+O107-N107</f>
        <v>7840.2182500000345</v>
      </c>
      <c r="Q107" s="57"/>
      <c r="R107" s="57"/>
    </row>
    <row r="108" spans="1:19" s="2" customFormat="1" x14ac:dyDescent="0.3">
      <c r="A108" s="128"/>
      <c r="B108" s="123"/>
      <c r="C108" s="7"/>
      <c r="D108" s="7"/>
      <c r="E108" s="7"/>
      <c r="F108" s="7"/>
      <c r="G108" s="48"/>
      <c r="H108" s="36"/>
      <c r="I108" s="48"/>
      <c r="J108" s="36"/>
      <c r="K108" s="48"/>
      <c r="L108" s="36"/>
      <c r="M108" s="48"/>
      <c r="N108" s="136"/>
      <c r="O108" s="57"/>
      <c r="P108" s="57"/>
    </row>
    <row r="109" spans="1:19" x14ac:dyDescent="0.3">
      <c r="A109" s="173"/>
      <c r="B109" s="162"/>
      <c r="C109" s="7"/>
      <c r="D109" s="7"/>
      <c r="E109" s="83"/>
      <c r="F109" s="55"/>
      <c r="G109" s="48"/>
      <c r="H109" s="36"/>
      <c r="I109" s="48"/>
      <c r="J109" s="36"/>
      <c r="K109" s="48"/>
      <c r="L109" s="37"/>
      <c r="M109" s="48"/>
      <c r="N109" s="136"/>
      <c r="O109" s="66"/>
      <c r="P109" s="66"/>
      <c r="Q109"/>
      <c r="R109"/>
    </row>
    <row r="110" spans="1:19" s="2" customFormat="1" x14ac:dyDescent="0.3">
      <c r="A110" s="21">
        <v>7</v>
      </c>
      <c r="B110" s="146"/>
      <c r="C110" s="22" t="s">
        <v>94</v>
      </c>
      <c r="D110" s="23"/>
      <c r="E110" s="24"/>
      <c r="F110" s="24"/>
      <c r="G110" s="84"/>
      <c r="H110" s="85">
        <f>+H36+H60+H101+H107+H103+H105</f>
        <v>499184</v>
      </c>
      <c r="I110" s="84"/>
      <c r="J110" s="86">
        <f>+J36+J60+J101+J107+J103+J105</f>
        <v>495764</v>
      </c>
      <c r="K110" s="84"/>
      <c r="L110" s="175">
        <f>+L36+L60+L101+L107+L103+L105</f>
        <v>506139.58499999996</v>
      </c>
      <c r="M110" s="84"/>
      <c r="N110" s="87">
        <f>H110+J110+L110</f>
        <v>1501087.585</v>
      </c>
      <c r="O110" s="57">
        <f>N107+N101+N60+N36+N103</f>
        <v>1532450.8730000001</v>
      </c>
      <c r="P110" s="57"/>
      <c r="Q110" s="57"/>
      <c r="R110" s="57"/>
      <c r="S110" s="88"/>
    </row>
    <row r="111" spans="1:19" x14ac:dyDescent="0.3">
      <c r="A111" s="82"/>
      <c r="B111" s="65"/>
      <c r="C111" s="7"/>
      <c r="D111" s="7"/>
      <c r="E111" s="83"/>
      <c r="F111" s="55"/>
      <c r="G111" s="48"/>
      <c r="H111" s="36"/>
      <c r="I111" s="48"/>
      <c r="J111" s="36"/>
      <c r="K111" s="48"/>
      <c r="L111" s="37"/>
      <c r="M111" s="48"/>
      <c r="N111" s="37"/>
      <c r="O111" s="80">
        <f>O110-N110</f>
        <v>31363.288000000175</v>
      </c>
      <c r="P111" s="66" t="s">
        <v>95</v>
      </c>
      <c r="Q111" s="89"/>
      <c r="R111"/>
    </row>
    <row r="112" spans="1:19" ht="15" thickBot="1" x14ac:dyDescent="0.35">
      <c r="A112" s="90"/>
      <c r="B112" s="11"/>
      <c r="C112" s="91"/>
      <c r="D112" s="91"/>
      <c r="E112" s="92"/>
      <c r="F112" s="91"/>
      <c r="G112" s="93"/>
      <c r="H112" s="94"/>
      <c r="I112" s="93"/>
      <c r="J112" s="94"/>
      <c r="K112" s="93"/>
      <c r="L112" s="95"/>
      <c r="M112" s="93"/>
      <c r="N112" s="95"/>
      <c r="O112" s="66"/>
      <c r="P112" s="66"/>
      <c r="Q112"/>
      <c r="R112"/>
    </row>
    <row r="113" spans="1:21" ht="15" thickTop="1" x14ac:dyDescent="0.3">
      <c r="P113" s="96"/>
      <c r="U113" s="88"/>
    </row>
    <row r="114" spans="1:21" ht="30.75" customHeight="1" x14ac:dyDescent="0.3">
      <c r="A114" s="188" t="s">
        <v>115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P114" s="97"/>
    </row>
    <row r="115" spans="1:21" x14ac:dyDescent="0.3">
      <c r="G115" s="98"/>
    </row>
    <row r="116" spans="1:21" x14ac:dyDescent="0.3">
      <c r="G116" s="98"/>
    </row>
  </sheetData>
  <mergeCells count="16">
    <mergeCell ref="D2:J2"/>
    <mergeCell ref="D6:E6"/>
    <mergeCell ref="G7:H7"/>
    <mergeCell ref="I7:J7"/>
    <mergeCell ref="K7:L7"/>
    <mergeCell ref="M7:N7"/>
    <mergeCell ref="M9:N9"/>
    <mergeCell ref="A114:N114"/>
    <mergeCell ref="B8:E8"/>
    <mergeCell ref="G8:H8"/>
    <mergeCell ref="I8:J8"/>
    <mergeCell ref="K8:L8"/>
    <mergeCell ref="B9:E9"/>
    <mergeCell ref="G9:H9"/>
    <mergeCell ref="I9:J9"/>
    <mergeCell ref="K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G27" sqref="G27"/>
    </sheetView>
  </sheetViews>
  <sheetFormatPr defaultColWidth="7" defaultRowHeight="14.4" x14ac:dyDescent="0.3"/>
  <cols>
    <col min="1" max="1" width="36.109375" style="174" customWidth="1"/>
    <col min="2" max="2" width="7" customWidth="1"/>
    <col min="3" max="3" width="12.21875" bestFit="1" customWidth="1"/>
    <col min="4" max="4" width="2.5546875" customWidth="1"/>
    <col min="5" max="5" width="12" bestFit="1" customWidth="1"/>
    <col min="6" max="6" width="2.5546875" customWidth="1"/>
    <col min="7" max="7" width="10.33203125" customWidth="1"/>
    <col min="8" max="8" width="2.6640625" customWidth="1"/>
    <col min="9" max="9" width="10.6640625" customWidth="1"/>
  </cols>
  <sheetData>
    <row r="2" spans="1:9" ht="22.35" customHeight="1" x14ac:dyDescent="0.3">
      <c r="A2" s="177"/>
      <c r="B2" s="176"/>
      <c r="C2" s="178" t="s">
        <v>96</v>
      </c>
      <c r="D2" s="178"/>
      <c r="E2" s="178" t="s">
        <v>97</v>
      </c>
      <c r="F2" s="178"/>
      <c r="G2" s="178" t="s">
        <v>98</v>
      </c>
      <c r="H2" s="178"/>
      <c r="I2" s="178" t="s">
        <v>7</v>
      </c>
    </row>
    <row r="3" spans="1:9" x14ac:dyDescent="0.3">
      <c r="A3" s="177"/>
      <c r="B3" s="176"/>
      <c r="C3" s="176"/>
      <c r="D3" s="176"/>
      <c r="E3" s="176"/>
      <c r="F3" s="176"/>
      <c r="G3" s="176"/>
      <c r="H3" s="176"/>
      <c r="I3" s="176"/>
    </row>
    <row r="4" spans="1:9" x14ac:dyDescent="0.3">
      <c r="A4" s="177"/>
      <c r="B4" s="176"/>
      <c r="C4" s="176"/>
      <c r="D4" s="176"/>
      <c r="E4" s="176"/>
      <c r="F4" s="176"/>
      <c r="G4" s="176"/>
      <c r="H4" s="176"/>
      <c r="I4" s="176"/>
    </row>
    <row r="5" spans="1:9" x14ac:dyDescent="0.3">
      <c r="A5" s="179" t="s">
        <v>103</v>
      </c>
      <c r="B5" s="176"/>
      <c r="C5" s="180"/>
      <c r="D5" s="180"/>
      <c r="E5" s="180"/>
      <c r="F5" s="180"/>
      <c r="G5" s="180"/>
      <c r="H5" s="180"/>
      <c r="I5" s="180"/>
    </row>
    <row r="6" spans="1:9" x14ac:dyDescent="0.3">
      <c r="A6" s="181" t="s">
        <v>22</v>
      </c>
      <c r="B6" s="176"/>
      <c r="C6" s="180">
        <f>'Detailed budget'!H27</f>
        <v>148000</v>
      </c>
      <c r="D6" s="180"/>
      <c r="E6" s="180">
        <f>'Detailed budget'!J27</f>
        <v>162015</v>
      </c>
      <c r="F6" s="180"/>
      <c r="G6" s="180">
        <f>'Detailed budget'!L27</f>
        <v>168850</v>
      </c>
      <c r="H6" s="180"/>
      <c r="I6" s="180">
        <f>'Detailed budget'!N27</f>
        <v>478865</v>
      </c>
    </row>
    <row r="7" spans="1:9" x14ac:dyDescent="0.3">
      <c r="A7" s="181" t="s">
        <v>35</v>
      </c>
      <c r="B7" s="176"/>
      <c r="C7" s="180">
        <f>'Detailed budget'!H34</f>
        <v>50700</v>
      </c>
      <c r="D7" s="180"/>
      <c r="E7" s="180">
        <f>'Detailed budget'!J34</f>
        <v>55881</v>
      </c>
      <c r="F7" s="180"/>
      <c r="G7" s="180">
        <f>'Detailed budget'!L34</f>
        <v>57585</v>
      </c>
      <c r="H7" s="180"/>
      <c r="I7" s="180">
        <f>'Detailed budget'!N27</f>
        <v>478865</v>
      </c>
    </row>
    <row r="8" spans="1:9" x14ac:dyDescent="0.3">
      <c r="A8" s="182" t="s">
        <v>20</v>
      </c>
      <c r="B8" s="176"/>
      <c r="C8" s="180">
        <f>SUM(C6:C7)</f>
        <v>198700</v>
      </c>
      <c r="D8" s="180"/>
      <c r="E8" s="180">
        <f>SUM(E6:E7)</f>
        <v>217896</v>
      </c>
      <c r="F8" s="180"/>
      <c r="G8" s="180">
        <f>SUM(G6:G7)</f>
        <v>226435</v>
      </c>
      <c r="H8" s="180"/>
      <c r="I8" s="180">
        <f>SUM(C8+E8+G8)</f>
        <v>643031</v>
      </c>
    </row>
    <row r="9" spans="1:9" x14ac:dyDescent="0.3">
      <c r="A9" s="177"/>
      <c r="B9" s="176"/>
      <c r="C9" s="180"/>
      <c r="D9" s="180"/>
      <c r="E9" s="180"/>
      <c r="F9" s="180"/>
      <c r="G9" s="180"/>
      <c r="H9" s="180"/>
      <c r="I9" s="180"/>
    </row>
    <row r="10" spans="1:9" x14ac:dyDescent="0.3">
      <c r="A10" s="179" t="s">
        <v>104</v>
      </c>
      <c r="B10" s="176"/>
      <c r="C10" s="180"/>
      <c r="D10" s="180"/>
      <c r="E10" s="180"/>
      <c r="F10" s="180"/>
      <c r="G10" s="180"/>
      <c r="H10" s="180"/>
      <c r="I10" s="180"/>
    </row>
    <row r="11" spans="1:9" x14ac:dyDescent="0.3">
      <c r="A11" s="181" t="s">
        <v>43</v>
      </c>
      <c r="B11" s="176"/>
      <c r="C11" s="180">
        <f>'Detailed budget'!H43</f>
        <v>2</v>
      </c>
      <c r="D11" s="180"/>
      <c r="E11" s="180">
        <f>'Detailed budget'!J43</f>
        <v>2</v>
      </c>
      <c r="F11" s="180"/>
      <c r="G11" s="180">
        <f>'Detailed budget'!L43</f>
        <v>2</v>
      </c>
      <c r="H11" s="180"/>
      <c r="I11" s="180">
        <f>C11+E11+G11</f>
        <v>6</v>
      </c>
    </row>
    <row r="12" spans="1:9" x14ac:dyDescent="0.3">
      <c r="A12" s="181" t="s">
        <v>48</v>
      </c>
      <c r="B12" s="176"/>
      <c r="C12" s="180">
        <f>'Detailed budget'!H49</f>
        <v>23000</v>
      </c>
      <c r="D12" s="180"/>
      <c r="E12" s="180">
        <f>'Detailed budget'!J49</f>
        <v>25544</v>
      </c>
      <c r="F12" s="180"/>
      <c r="G12" s="180">
        <f>'Detailed budget'!L49</f>
        <v>24400.7</v>
      </c>
      <c r="H12" s="180"/>
      <c r="I12" s="180">
        <f>C12+E12+G12</f>
        <v>72944.7</v>
      </c>
    </row>
    <row r="13" spans="1:9" x14ac:dyDescent="0.3">
      <c r="A13" s="181" t="s">
        <v>51</v>
      </c>
      <c r="B13" s="176"/>
      <c r="C13" s="180">
        <f>'Detailed budget'!H58</f>
        <v>7800</v>
      </c>
      <c r="D13" s="180"/>
      <c r="E13" s="180">
        <f>'Detailed budget'!J58</f>
        <v>8549</v>
      </c>
      <c r="F13" s="180"/>
      <c r="G13" s="180">
        <f>'Detailed budget'!L58</f>
        <v>8115.8849999999993</v>
      </c>
      <c r="H13" s="180"/>
      <c r="I13" s="180">
        <f>C13+E13+G13</f>
        <v>24464.884999999998</v>
      </c>
    </row>
    <row r="14" spans="1:9" x14ac:dyDescent="0.3">
      <c r="A14" s="182" t="s">
        <v>105</v>
      </c>
      <c r="B14" s="176"/>
      <c r="C14" s="180">
        <f>SUM(C11:C13)</f>
        <v>30802</v>
      </c>
      <c r="D14" s="180"/>
      <c r="E14" s="180">
        <f>SUM(E11:E13)</f>
        <v>34095</v>
      </c>
      <c r="F14" s="180"/>
      <c r="G14" s="180">
        <f>SUM(G11:G13)</f>
        <v>32518.584999999999</v>
      </c>
      <c r="H14" s="180"/>
      <c r="I14" s="180">
        <f>SUM(I11:I13)</f>
        <v>97415.584999999992</v>
      </c>
    </row>
    <row r="15" spans="1:9" x14ac:dyDescent="0.3">
      <c r="A15" s="177"/>
      <c r="B15" s="176"/>
      <c r="C15" s="180"/>
      <c r="D15" s="180"/>
      <c r="E15" s="180"/>
      <c r="F15" s="180"/>
      <c r="G15" s="180"/>
      <c r="H15" s="180"/>
      <c r="I15" s="180"/>
    </row>
    <row r="16" spans="1:9" x14ac:dyDescent="0.3">
      <c r="A16" s="179" t="s">
        <v>63</v>
      </c>
      <c r="B16" s="176"/>
      <c r="C16" s="180"/>
      <c r="D16" s="180"/>
      <c r="E16" s="180"/>
      <c r="F16" s="180"/>
      <c r="G16" s="180"/>
      <c r="H16" s="180"/>
      <c r="I16" s="180"/>
    </row>
    <row r="17" spans="1:9" x14ac:dyDescent="0.3">
      <c r="A17" s="181" t="s">
        <v>64</v>
      </c>
      <c r="B17" s="176"/>
      <c r="C17" s="180">
        <f>'Detailed budget'!H77</f>
        <v>30925</v>
      </c>
      <c r="D17" s="180"/>
      <c r="E17" s="180"/>
      <c r="F17" s="180"/>
      <c r="G17" s="180"/>
      <c r="H17" s="180"/>
      <c r="I17" s="180">
        <f>SUM(G17+C17+E17)</f>
        <v>30925</v>
      </c>
    </row>
    <row r="18" spans="1:9" x14ac:dyDescent="0.3">
      <c r="A18" s="181" t="s">
        <v>107</v>
      </c>
      <c r="B18" s="176"/>
      <c r="C18" s="180">
        <f>'Detailed budget'!H99</f>
        <v>38920</v>
      </c>
      <c r="D18" s="180"/>
      <c r="E18" s="180">
        <f>'Detailed budget'!J99</f>
        <v>44620</v>
      </c>
      <c r="F18" s="180"/>
      <c r="G18" s="180">
        <f>'Detailed budget'!L99</f>
        <v>45958</v>
      </c>
      <c r="H18" s="180"/>
      <c r="I18" s="180">
        <f>SUM(G18+C18+E18)</f>
        <v>129498</v>
      </c>
    </row>
    <row r="19" spans="1:9" x14ac:dyDescent="0.3">
      <c r="A19" s="181" t="s">
        <v>106</v>
      </c>
      <c r="B19" s="176"/>
      <c r="C19" s="180">
        <f>'Detailed budget'!H103</f>
        <v>100000</v>
      </c>
      <c r="D19" s="180"/>
      <c r="E19" s="180">
        <f>'Detailed budget'!J103</f>
        <v>100000</v>
      </c>
      <c r="F19" s="180"/>
      <c r="G19" s="180">
        <f>'Detailed budget'!L103</f>
        <v>100000</v>
      </c>
      <c r="H19" s="180"/>
      <c r="I19" s="180">
        <f>SUM(G19+C19+E19)</f>
        <v>300000</v>
      </c>
    </row>
    <row r="20" spans="1:9" x14ac:dyDescent="0.3">
      <c r="A20" s="181" t="s">
        <v>111</v>
      </c>
      <c r="B20" s="176"/>
      <c r="C20" s="180">
        <f>'Detailed budget'!H105</f>
        <v>0</v>
      </c>
      <c r="D20" s="180"/>
      <c r="E20" s="180">
        <f>'Detailed budget'!J105</f>
        <v>0</v>
      </c>
      <c r="F20" s="180"/>
      <c r="G20" s="180">
        <f>'Detailed budget'!L105</f>
        <v>0</v>
      </c>
      <c r="H20" s="180"/>
      <c r="I20" s="180">
        <f>SUM(G20+C20+E20)</f>
        <v>0</v>
      </c>
    </row>
    <row r="21" spans="1:9" x14ac:dyDescent="0.3">
      <c r="A21" s="182" t="s">
        <v>108</v>
      </c>
      <c r="B21" s="176"/>
      <c r="C21" s="180">
        <f>SUM(C17:C20)</f>
        <v>169845</v>
      </c>
      <c r="D21" s="180"/>
      <c r="E21" s="180">
        <f>SUM(E18:E20)</f>
        <v>144620</v>
      </c>
      <c r="F21" s="180"/>
      <c r="G21" s="180">
        <f>SUM(G18:G20)</f>
        <v>145958</v>
      </c>
      <c r="H21" s="180"/>
      <c r="I21" s="180">
        <f>SUM(I17:I20)</f>
        <v>460423</v>
      </c>
    </row>
    <row r="22" spans="1:9" x14ac:dyDescent="0.3">
      <c r="A22" s="177"/>
      <c r="B22" s="176"/>
      <c r="C22" s="180"/>
      <c r="D22" s="180"/>
      <c r="E22" s="180"/>
      <c r="F22" s="180"/>
      <c r="G22" s="180"/>
      <c r="H22" s="180"/>
      <c r="I22" s="180"/>
    </row>
    <row r="23" spans="1:9" x14ac:dyDescent="0.3">
      <c r="A23" s="182" t="s">
        <v>109</v>
      </c>
      <c r="B23" s="176"/>
      <c r="C23" s="180">
        <f>(C8+C14+C21)*25%</f>
        <v>99836.75</v>
      </c>
      <c r="D23" s="180"/>
      <c r="E23" s="180">
        <f>(E8+E14+E21)*25%</f>
        <v>99152.75</v>
      </c>
      <c r="F23" s="180"/>
      <c r="G23" s="180">
        <f>(G8+G14+G21)*25%</f>
        <v>101227.89624999999</v>
      </c>
      <c r="H23" s="180"/>
      <c r="I23" s="180">
        <f>C23+E23+G23</f>
        <v>300217.39624999999</v>
      </c>
    </row>
    <row r="24" spans="1:9" x14ac:dyDescent="0.3">
      <c r="A24" s="177"/>
      <c r="B24" s="176"/>
      <c r="C24" s="180"/>
      <c r="D24" s="180"/>
      <c r="E24" s="180"/>
      <c r="F24" s="180"/>
      <c r="G24" s="180"/>
      <c r="H24" s="180"/>
      <c r="I24" s="180"/>
    </row>
    <row r="25" spans="1:9" x14ac:dyDescent="0.3">
      <c r="A25" s="182" t="s">
        <v>94</v>
      </c>
      <c r="B25" s="176"/>
      <c r="C25" s="183">
        <f>C8+C14+C21+C23</f>
        <v>499183.75</v>
      </c>
      <c r="D25" s="183"/>
      <c r="E25" s="183">
        <f>E8+E14+E21+E23</f>
        <v>495763.75</v>
      </c>
      <c r="F25" s="183"/>
      <c r="G25" s="183">
        <f>G8+G14+G21+G23</f>
        <v>506139.48124999995</v>
      </c>
      <c r="H25" s="183"/>
      <c r="I25" s="183">
        <f>I8+I14+I21+I23</f>
        <v>1501086.98125</v>
      </c>
    </row>
    <row r="26" spans="1:9" x14ac:dyDescent="0.3">
      <c r="A26" s="177"/>
      <c r="B26" s="176"/>
      <c r="C26" s="176"/>
      <c r="D26" s="176"/>
      <c r="E26" s="176"/>
      <c r="F26" s="176"/>
      <c r="G26" s="176"/>
      <c r="H26" s="176"/>
      <c r="I26" s="1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</dc:creator>
  <cp:lastModifiedBy>Frank</cp:lastModifiedBy>
  <dcterms:created xsi:type="dcterms:W3CDTF">2014-08-08T18:28:35Z</dcterms:created>
  <dcterms:modified xsi:type="dcterms:W3CDTF">2019-02-06T22:48:36Z</dcterms:modified>
</cp:coreProperties>
</file>